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"/>
    </mc:Choice>
  </mc:AlternateContent>
  <xr:revisionPtr revIDLastSave="0" documentId="13_ncr:1_{146108DC-3FB3-4D83-83EA-8CBFEFA47B58}" xr6:coauthVersionLast="47" xr6:coauthVersionMax="47" xr10:uidLastSave="{00000000-0000-0000-0000-000000000000}"/>
  <bookViews>
    <workbookView xWindow="-110" yWindow="-110" windowWidth="19420" windowHeight="10300" activeTab="1" xr2:uid="{7F1A8425-EA27-470A-B122-AFBC73A33258}"/>
  </bookViews>
  <sheets>
    <sheet name="Assumptions" sheetId="1" r:id="rId1"/>
    <sheet name="Valuation" sheetId="4" r:id="rId2"/>
    <sheet name="Income Statement" sheetId="5" r:id="rId3"/>
    <sheet name="Rough Sheet" sheetId="3" r:id="rId4"/>
    <sheet name="Data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4" l="1"/>
  <c r="G27" i="4"/>
  <c r="C69" i="2"/>
  <c r="G26" i="4"/>
  <c r="G24" i="4"/>
  <c r="C68" i="2"/>
  <c r="B66" i="2" l="1"/>
  <c r="D66" i="2" s="1"/>
  <c r="C66" i="2"/>
  <c r="P50" i="4"/>
  <c r="P16" i="4" s="1"/>
  <c r="H50" i="4"/>
  <c r="H16" i="4" s="1"/>
  <c r="P49" i="4"/>
  <c r="H46" i="4"/>
  <c r="L10" i="4" l="1"/>
  <c r="K10" i="4"/>
  <c r="J10" i="4"/>
  <c r="I10" i="4"/>
  <c r="H10" i="4"/>
  <c r="J28" i="5"/>
  <c r="I28" i="5"/>
  <c r="H28" i="5"/>
  <c r="G28" i="5"/>
  <c r="F28" i="5"/>
  <c r="N119" i="3"/>
  <c r="M119" i="3"/>
  <c r="L119" i="3"/>
  <c r="K119" i="3"/>
  <c r="E25" i="5"/>
  <c r="F25" i="5"/>
  <c r="J114" i="3"/>
  <c r="K114" i="3" s="1"/>
  <c r="L114" i="3" l="1"/>
  <c r="G25" i="5"/>
  <c r="M114" i="3" l="1"/>
  <c r="H25" i="5"/>
  <c r="N114" i="3" l="1"/>
  <c r="I25" i="5"/>
  <c r="O114" i="3" l="1"/>
  <c r="J25" i="5"/>
  <c r="P114" i="3" l="1"/>
  <c r="K25" i="5"/>
  <c r="Q114" i="3" l="1"/>
  <c r="L25" i="5"/>
  <c r="M25" i="5" l="1"/>
  <c r="R114" i="3"/>
  <c r="N25" i="5" s="1"/>
  <c r="J39" i="2" l="1"/>
  <c r="I39" i="2"/>
  <c r="I17" i="2"/>
  <c r="C45" i="2"/>
  <c r="C40" i="2"/>
  <c r="G15" i="3"/>
  <c r="H15" i="3"/>
  <c r="L35" i="3"/>
  <c r="K35" i="3"/>
  <c r="J35" i="3"/>
  <c r="Q35" i="3"/>
  <c r="P35" i="3"/>
  <c r="O35" i="3"/>
  <c r="N35" i="3"/>
  <c r="M35" i="3"/>
  <c r="F6" i="5"/>
  <c r="G6" i="5" s="1"/>
  <c r="G7" i="5" s="1"/>
  <c r="E7" i="5"/>
  <c r="K109" i="3"/>
  <c r="K108" i="3"/>
  <c r="K107" i="3"/>
  <c r="K106" i="3"/>
  <c r="K105" i="3"/>
  <c r="G110" i="3"/>
  <c r="J109" i="3"/>
  <c r="J108" i="3"/>
  <c r="J107" i="3"/>
  <c r="J106" i="3"/>
  <c r="J105" i="3"/>
  <c r="J104" i="3"/>
  <c r="K104" i="3" s="1"/>
  <c r="J103" i="3"/>
  <c r="K103" i="3" s="1"/>
  <c r="M62" i="3"/>
  <c r="L62" i="3"/>
  <c r="K62" i="3"/>
  <c r="J62" i="3"/>
  <c r="I83" i="3"/>
  <c r="J80" i="3" s="1"/>
  <c r="I28" i="3"/>
  <c r="E11" i="5" s="1"/>
  <c r="R20" i="3"/>
  <c r="Q20" i="3"/>
  <c r="P20" i="3"/>
  <c r="O20" i="3"/>
  <c r="N20" i="3"/>
  <c r="M20" i="3"/>
  <c r="L20" i="3"/>
  <c r="K20" i="3"/>
  <c r="J20" i="3"/>
  <c r="N11" i="3"/>
  <c r="R11" i="3"/>
  <c r="Q11" i="3"/>
  <c r="P11" i="3"/>
  <c r="O11" i="3"/>
  <c r="M11" i="3"/>
  <c r="L11" i="3"/>
  <c r="K11" i="3"/>
  <c r="J11" i="3"/>
  <c r="J88" i="3"/>
  <c r="J89" i="3" s="1"/>
  <c r="K87" i="3" s="1"/>
  <c r="K88" i="3" s="1"/>
  <c r="C61" i="2"/>
  <c r="D61" i="2"/>
  <c r="E61" i="2"/>
  <c r="F39" i="3"/>
  <c r="I50" i="3" s="1"/>
  <c r="J47" i="3" s="1"/>
  <c r="J49" i="3" s="1"/>
  <c r="G55" i="2"/>
  <c r="H54" i="2"/>
  <c r="F54" i="2"/>
  <c r="F53" i="2"/>
  <c r="E55" i="2"/>
  <c r="E52" i="2"/>
  <c r="K47" i="2"/>
  <c r="L47" i="2" s="1"/>
  <c r="J47" i="2"/>
  <c r="I47" i="2"/>
  <c r="H47" i="2"/>
  <c r="L46" i="2"/>
  <c r="E58" i="2"/>
  <c r="E57" i="2"/>
  <c r="R24" i="3"/>
  <c r="R23" i="3" s="1"/>
  <c r="I24" i="3"/>
  <c r="G23" i="3"/>
  <c r="H23" i="3"/>
  <c r="I23" i="3"/>
  <c r="E48" i="2"/>
  <c r="D48" i="2"/>
  <c r="E46" i="2"/>
  <c r="D46" i="2"/>
  <c r="C46" i="2"/>
  <c r="E45" i="2"/>
  <c r="D45" i="2"/>
  <c r="C48" i="2"/>
  <c r="I32" i="3" s="1"/>
  <c r="F52" i="1"/>
  <c r="H18" i="3" s="1"/>
  <c r="H21" i="3" s="1"/>
  <c r="H8" i="3"/>
  <c r="D42" i="2" s="1"/>
  <c r="G8" i="3"/>
  <c r="E42" i="2" s="1"/>
  <c r="F8" i="3"/>
  <c r="I8" i="3"/>
  <c r="I37" i="3" s="1"/>
  <c r="F6" i="3"/>
  <c r="G5" i="3"/>
  <c r="G6" i="3" s="1"/>
  <c r="L45" i="2" l="1"/>
  <c r="C42" i="2"/>
  <c r="H6" i="5"/>
  <c r="H7" i="5" s="1"/>
  <c r="F7" i="5"/>
  <c r="G6" i="4"/>
  <c r="H5" i="4"/>
  <c r="H39" i="4" s="1"/>
  <c r="H18" i="4" s="1"/>
  <c r="K110" i="3"/>
  <c r="J112" i="3" s="1"/>
  <c r="F112" i="3" s="1"/>
  <c r="I27" i="3"/>
  <c r="J27" i="3" s="1"/>
  <c r="K27" i="3" s="1"/>
  <c r="L27" i="3" s="1"/>
  <c r="M27" i="3" s="1"/>
  <c r="N27" i="3" s="1"/>
  <c r="O27" i="3" s="1"/>
  <c r="P27" i="3" s="1"/>
  <c r="Q27" i="3" s="1"/>
  <c r="R27" i="3" s="1"/>
  <c r="J32" i="3"/>
  <c r="G9" i="3"/>
  <c r="T20" i="3"/>
  <c r="H9" i="3"/>
  <c r="J24" i="3"/>
  <c r="K24" i="3" s="1"/>
  <c r="L24" i="3" s="1"/>
  <c r="M24" i="3" s="1"/>
  <c r="N24" i="3" s="1"/>
  <c r="O24" i="3" s="1"/>
  <c r="P24" i="3" s="1"/>
  <c r="Q24" i="3" s="1"/>
  <c r="I9" i="3"/>
  <c r="T11" i="3"/>
  <c r="K89" i="3"/>
  <c r="L87" i="3" s="1"/>
  <c r="L88" i="3" s="1"/>
  <c r="I51" i="3"/>
  <c r="J51" i="3" s="1"/>
  <c r="K51" i="3" s="1"/>
  <c r="I25" i="3"/>
  <c r="J25" i="3" s="1"/>
  <c r="H5" i="3"/>
  <c r="H6" i="3" s="1"/>
  <c r="I18" i="3"/>
  <c r="I6" i="5" l="1"/>
  <c r="I7" i="5" s="1"/>
  <c r="I5" i="4"/>
  <c r="I39" i="4" s="1"/>
  <c r="I8" i="4"/>
  <c r="I38" i="4" s="1"/>
  <c r="H6" i="4"/>
  <c r="H8" i="4"/>
  <c r="H38" i="4" s="1"/>
  <c r="H17" i="4" s="1"/>
  <c r="L51" i="3"/>
  <c r="L89" i="3"/>
  <c r="M87" i="3" s="1"/>
  <c r="M88" i="3" s="1"/>
  <c r="I21" i="3"/>
  <c r="J21" i="3" s="1"/>
  <c r="K32" i="3"/>
  <c r="K25" i="3"/>
  <c r="J23" i="3"/>
  <c r="I5" i="3"/>
  <c r="I6" i="3" s="1"/>
  <c r="I65" i="3" s="1"/>
  <c r="J6" i="5" l="1"/>
  <c r="J7" i="5" s="1"/>
  <c r="I6" i="4"/>
  <c r="J5" i="4"/>
  <c r="J39" i="4" s="1"/>
  <c r="J8" i="4"/>
  <c r="J38" i="4" s="1"/>
  <c r="M89" i="3"/>
  <c r="N87" i="3" s="1"/>
  <c r="N88" i="3" s="1"/>
  <c r="M51" i="3"/>
  <c r="L32" i="3"/>
  <c r="K21" i="3"/>
  <c r="L25" i="3"/>
  <c r="K23" i="3"/>
  <c r="J5" i="3"/>
  <c r="K5" i="3" s="1"/>
  <c r="K6" i="5" l="1"/>
  <c r="L6" i="5" s="1"/>
  <c r="J6" i="4"/>
  <c r="K5" i="4"/>
  <c r="N89" i="3"/>
  <c r="O87" i="3" s="1"/>
  <c r="O88" i="3" s="1"/>
  <c r="N51" i="3"/>
  <c r="L21" i="3"/>
  <c r="M32" i="3"/>
  <c r="M25" i="3"/>
  <c r="L23" i="3"/>
  <c r="J6" i="3"/>
  <c r="L5" i="3"/>
  <c r="K6" i="3"/>
  <c r="K8" i="4" l="1"/>
  <c r="K38" i="4" s="1"/>
  <c r="K39" i="4"/>
  <c r="K7" i="5"/>
  <c r="M6" i="5"/>
  <c r="L7" i="5"/>
  <c r="L5" i="4"/>
  <c r="K6" i="4"/>
  <c r="K65" i="3"/>
  <c r="O89" i="3"/>
  <c r="P87" i="3" s="1"/>
  <c r="P88" i="3" s="1"/>
  <c r="J65" i="3"/>
  <c r="O51" i="3"/>
  <c r="N32" i="3"/>
  <c r="M21" i="3"/>
  <c r="N25" i="3"/>
  <c r="M23" i="3"/>
  <c r="M5" i="3"/>
  <c r="L6" i="3"/>
  <c r="L8" i="4" l="1"/>
  <c r="L38" i="4" s="1"/>
  <c r="L39" i="4"/>
  <c r="N6" i="5"/>
  <c r="M7" i="5"/>
  <c r="M5" i="4"/>
  <c r="L6" i="4"/>
  <c r="P89" i="3"/>
  <c r="Q87" i="3" s="1"/>
  <c r="Q88" i="3" s="1"/>
  <c r="L65" i="3"/>
  <c r="P51" i="3"/>
  <c r="N21" i="3"/>
  <c r="O32" i="3"/>
  <c r="O25" i="3"/>
  <c r="N23" i="3"/>
  <c r="M6" i="3"/>
  <c r="N5" i="3"/>
  <c r="M8" i="4" l="1"/>
  <c r="M38" i="4" s="1"/>
  <c r="M39" i="4"/>
  <c r="N7" i="5"/>
  <c r="M6" i="4"/>
  <c r="N5" i="4"/>
  <c r="Q89" i="3"/>
  <c r="R87" i="3" s="1"/>
  <c r="R88" i="3" s="1"/>
  <c r="M65" i="3"/>
  <c r="Q51" i="3"/>
  <c r="P32" i="3"/>
  <c r="O21" i="3"/>
  <c r="P25" i="3"/>
  <c r="O23" i="3"/>
  <c r="O5" i="3"/>
  <c r="N6" i="3"/>
  <c r="N8" i="4" l="1"/>
  <c r="N38" i="4" s="1"/>
  <c r="N39" i="4"/>
  <c r="N6" i="4"/>
  <c r="O5" i="4"/>
  <c r="R89" i="3"/>
  <c r="N65" i="3"/>
  <c r="P21" i="3"/>
  <c r="Q32" i="3"/>
  <c r="Q25" i="3"/>
  <c r="Q23" i="3" s="1"/>
  <c r="P23" i="3"/>
  <c r="P5" i="3"/>
  <c r="O6" i="3"/>
  <c r="O8" i="4" l="1"/>
  <c r="O38" i="4" s="1"/>
  <c r="O39" i="4"/>
  <c r="O6" i="4"/>
  <c r="P5" i="4"/>
  <c r="P39" i="4" s="1"/>
  <c r="P18" i="4" s="1"/>
  <c r="O65" i="3"/>
  <c r="Q21" i="3"/>
  <c r="Q5" i="3"/>
  <c r="P6" i="3"/>
  <c r="P6" i="4" l="1"/>
  <c r="P8" i="4"/>
  <c r="P38" i="4" s="1"/>
  <c r="P17" i="4" s="1"/>
  <c r="P65" i="3"/>
  <c r="Q6" i="3"/>
  <c r="R5" i="3"/>
  <c r="R6" i="3" s="1"/>
  <c r="I46" i="4" l="1"/>
  <c r="I49" i="4"/>
  <c r="J49" i="4" s="1"/>
  <c r="K49" i="4" s="1"/>
  <c r="L49" i="4" s="1"/>
  <c r="M49" i="4" s="1"/>
  <c r="N49" i="4" s="1"/>
  <c r="O49" i="4" s="1"/>
  <c r="Q65" i="3"/>
  <c r="J46" i="4" l="1"/>
  <c r="I50" i="4"/>
  <c r="I16" i="4" s="1"/>
  <c r="G13" i="3"/>
  <c r="H13" i="3"/>
  <c r="I13" i="3"/>
  <c r="E38" i="2"/>
  <c r="E39" i="2"/>
  <c r="E40" i="2"/>
  <c r="D38" i="2"/>
  <c r="C38" i="2"/>
  <c r="I15" i="3" s="1"/>
  <c r="D39" i="2"/>
  <c r="D40" i="2"/>
  <c r="C39" i="2"/>
  <c r="G43" i="1"/>
  <c r="F46" i="1" s="1"/>
  <c r="H32" i="2"/>
  <c r="L27" i="2"/>
  <c r="L25" i="2"/>
  <c r="F55" i="1"/>
  <c r="G57" i="1" s="1"/>
  <c r="R18" i="3" s="1"/>
  <c r="J29" i="2"/>
  <c r="G25" i="2"/>
  <c r="H25" i="2" s="1"/>
  <c r="I19" i="2" s="1"/>
  <c r="H28" i="2"/>
  <c r="F33" i="1"/>
  <c r="F18" i="1"/>
  <c r="G19" i="1" s="1"/>
  <c r="G25" i="1" s="1"/>
  <c r="D23" i="2"/>
  <c r="F12" i="1" s="1"/>
  <c r="F30" i="1" s="1"/>
  <c r="D24" i="2"/>
  <c r="F13" i="1" s="1"/>
  <c r="F31" i="1" s="1"/>
  <c r="D25" i="2"/>
  <c r="F14" i="1" s="1"/>
  <c r="F32" i="1" s="1"/>
  <c r="D26" i="2"/>
  <c r="I18" i="4" l="1"/>
  <c r="I17" i="4"/>
  <c r="K46" i="4"/>
  <c r="J50" i="4"/>
  <c r="J16" i="4" s="1"/>
  <c r="E10" i="5"/>
  <c r="E17" i="5" s="1"/>
  <c r="I94" i="3"/>
  <c r="J94" i="3" s="1"/>
  <c r="E32" i="5"/>
  <c r="E20" i="5"/>
  <c r="R28" i="3"/>
  <c r="N11" i="5" s="1"/>
  <c r="T18" i="3"/>
  <c r="J18" i="3" s="1"/>
  <c r="I33" i="3"/>
  <c r="J13" i="3"/>
  <c r="G22" i="1"/>
  <c r="G23" i="1"/>
  <c r="G24" i="1"/>
  <c r="G21" i="1"/>
  <c r="I20" i="2"/>
  <c r="I21" i="2"/>
  <c r="I22" i="2"/>
  <c r="F16" i="1"/>
  <c r="L46" i="4" l="1"/>
  <c r="K50" i="4"/>
  <c r="K16" i="4" s="1"/>
  <c r="J18" i="4"/>
  <c r="J17" i="4"/>
  <c r="E23" i="5"/>
  <c r="E26" i="5" s="1"/>
  <c r="E29" i="5" s="1"/>
  <c r="E34" i="5" s="1"/>
  <c r="E33" i="5"/>
  <c r="K94" i="3"/>
  <c r="E13" i="5"/>
  <c r="E14" i="5" s="1"/>
  <c r="I36" i="3"/>
  <c r="E16" i="5" s="1"/>
  <c r="K18" i="3"/>
  <c r="J28" i="3"/>
  <c r="F11" i="5" s="1"/>
  <c r="K13" i="3"/>
  <c r="G35" i="2"/>
  <c r="F38" i="1"/>
  <c r="G38" i="1" s="1"/>
  <c r="F39" i="1"/>
  <c r="G39" i="1" s="1"/>
  <c r="F37" i="1"/>
  <c r="G37" i="1" s="1"/>
  <c r="F36" i="1"/>
  <c r="G36" i="1" s="1"/>
  <c r="K18" i="4" l="1"/>
  <c r="K17" i="4"/>
  <c r="M46" i="4"/>
  <c r="L50" i="4"/>
  <c r="L16" i="4" s="1"/>
  <c r="L94" i="3"/>
  <c r="L18" i="3"/>
  <c r="K28" i="3"/>
  <c r="G11" i="5" s="1"/>
  <c r="L13" i="3"/>
  <c r="G44" i="1"/>
  <c r="R8" i="3" s="1"/>
  <c r="R37" i="3" l="1"/>
  <c r="D74" i="3"/>
  <c r="R60" i="3" s="1"/>
  <c r="L17" i="4"/>
  <c r="L18" i="4"/>
  <c r="N46" i="4"/>
  <c r="M50" i="4"/>
  <c r="M16" i="4" s="1"/>
  <c r="M94" i="3"/>
  <c r="M18" i="3"/>
  <c r="L28" i="3"/>
  <c r="H11" i="5" s="1"/>
  <c r="R15" i="3"/>
  <c r="R93" i="3" s="1"/>
  <c r="P13" i="4" s="1"/>
  <c r="R50" i="3"/>
  <c r="T8" i="3"/>
  <c r="M13" i="3"/>
  <c r="M18" i="4" l="1"/>
  <c r="M17" i="4"/>
  <c r="O46" i="4"/>
  <c r="O50" i="4" s="1"/>
  <c r="O16" i="4" s="1"/>
  <c r="N50" i="4"/>
  <c r="N16" i="4" s="1"/>
  <c r="N94" i="3"/>
  <c r="R33" i="3"/>
  <c r="N10" i="5"/>
  <c r="N17" i="5" s="1"/>
  <c r="N18" i="3"/>
  <c r="M28" i="3"/>
  <c r="I11" i="5" s="1"/>
  <c r="P9" i="3"/>
  <c r="N9" i="3"/>
  <c r="Q9" i="3"/>
  <c r="O9" i="3"/>
  <c r="M9" i="3"/>
  <c r="L9" i="3"/>
  <c r="K9" i="3"/>
  <c r="R9" i="3"/>
  <c r="J9" i="3"/>
  <c r="J8" i="3" s="1"/>
  <c r="D66" i="3" s="1"/>
  <c r="J60" i="3" s="1"/>
  <c r="H14" i="4" s="1"/>
  <c r="R83" i="3"/>
  <c r="N13" i="3"/>
  <c r="O18" i="4" l="1"/>
  <c r="O17" i="4"/>
  <c r="N18" i="4"/>
  <c r="N17" i="4"/>
  <c r="J37" i="3"/>
  <c r="O94" i="3"/>
  <c r="N32" i="5"/>
  <c r="N13" i="5"/>
  <c r="N14" i="5" s="1"/>
  <c r="R36" i="3"/>
  <c r="O18" i="3"/>
  <c r="N28" i="3"/>
  <c r="J11" i="5" s="1"/>
  <c r="J50" i="3"/>
  <c r="K8" i="3"/>
  <c r="J15" i="3"/>
  <c r="J93" i="3" s="1"/>
  <c r="H13" i="4" s="1"/>
  <c r="O13" i="3"/>
  <c r="K37" i="3" l="1"/>
  <c r="D68" i="3"/>
  <c r="L60" i="3" s="1"/>
  <c r="D67" i="3"/>
  <c r="K60" i="3" s="1"/>
  <c r="P94" i="3"/>
  <c r="N16" i="5"/>
  <c r="J33" i="3"/>
  <c r="F10" i="5"/>
  <c r="F17" i="5" s="1"/>
  <c r="F32" i="5" s="1"/>
  <c r="P18" i="3"/>
  <c r="O28" i="3"/>
  <c r="K11" i="5" s="1"/>
  <c r="K50" i="3"/>
  <c r="L8" i="3"/>
  <c r="K15" i="3"/>
  <c r="K93" i="3" s="1"/>
  <c r="I13" i="4" s="1"/>
  <c r="J83" i="3"/>
  <c r="K80" i="3" s="1"/>
  <c r="J48" i="3"/>
  <c r="J81" i="3" s="1"/>
  <c r="J53" i="3"/>
  <c r="F22" i="5" s="1"/>
  <c r="K47" i="3"/>
  <c r="P13" i="3"/>
  <c r="L37" i="3" l="1"/>
  <c r="D69" i="3"/>
  <c r="M60" i="3" s="1"/>
  <c r="Q94" i="3"/>
  <c r="F13" i="5"/>
  <c r="F14" i="5" s="1"/>
  <c r="F16" i="5" s="1"/>
  <c r="J36" i="3"/>
  <c r="K33" i="3"/>
  <c r="G10" i="5"/>
  <c r="G17" i="5" s="1"/>
  <c r="G32" i="5" s="1"/>
  <c r="J82" i="3"/>
  <c r="Q18" i="3"/>
  <c r="Q28" i="3" s="1"/>
  <c r="M11" i="5" s="1"/>
  <c r="P28" i="3"/>
  <c r="L11" i="5" s="1"/>
  <c r="K49" i="3"/>
  <c r="K48" i="3" s="1"/>
  <c r="K81" i="3" s="1"/>
  <c r="K53" i="3"/>
  <c r="G22" i="5" s="1"/>
  <c r="L50" i="3"/>
  <c r="M8" i="3"/>
  <c r="D70" i="3" s="1"/>
  <c r="N60" i="3" s="1"/>
  <c r="L15" i="3"/>
  <c r="L93" i="3" s="1"/>
  <c r="J13" i="4" s="1"/>
  <c r="L47" i="3"/>
  <c r="K83" i="3"/>
  <c r="L80" i="3" s="1"/>
  <c r="Q13" i="3"/>
  <c r="M37" i="3" l="1"/>
  <c r="G13" i="5"/>
  <c r="K36" i="3"/>
  <c r="L33" i="3"/>
  <c r="H10" i="5"/>
  <c r="H17" i="5" s="1"/>
  <c r="G14" i="5"/>
  <c r="L49" i="3"/>
  <c r="L48" i="3" s="1"/>
  <c r="L81" i="3" s="1"/>
  <c r="L53" i="3"/>
  <c r="H22" i="5" s="1"/>
  <c r="M50" i="3"/>
  <c r="N8" i="3"/>
  <c r="M15" i="3"/>
  <c r="M93" i="3" s="1"/>
  <c r="K13" i="4" s="1"/>
  <c r="M47" i="3"/>
  <c r="L83" i="3"/>
  <c r="M80" i="3" s="1"/>
  <c r="K82" i="3"/>
  <c r="N37" i="3" l="1"/>
  <c r="D71" i="3"/>
  <c r="O60" i="3" s="1"/>
  <c r="H32" i="5"/>
  <c r="H13" i="5"/>
  <c r="L36" i="3"/>
  <c r="G16" i="5"/>
  <c r="H14" i="5"/>
  <c r="M33" i="3"/>
  <c r="I10" i="5"/>
  <c r="I17" i="5" s="1"/>
  <c r="L82" i="3"/>
  <c r="M49" i="3"/>
  <c r="M48" i="3" s="1"/>
  <c r="M81" i="3" s="1"/>
  <c r="M53" i="3"/>
  <c r="I22" i="5" s="1"/>
  <c r="O8" i="3"/>
  <c r="N50" i="3"/>
  <c r="N15" i="3"/>
  <c r="N93" i="3" s="1"/>
  <c r="L13" i="4" s="1"/>
  <c r="M83" i="3"/>
  <c r="N80" i="3" s="1"/>
  <c r="N47" i="3"/>
  <c r="O37" i="3" l="1"/>
  <c r="D72" i="3"/>
  <c r="P60" i="3" s="1"/>
  <c r="I13" i="5"/>
  <c r="I14" i="5" s="1"/>
  <c r="M36" i="3"/>
  <c r="I32" i="5"/>
  <c r="H16" i="5"/>
  <c r="N33" i="3"/>
  <c r="J10" i="5"/>
  <c r="J17" i="5" s="1"/>
  <c r="N49" i="3"/>
  <c r="N48" i="3" s="1"/>
  <c r="N81" i="3" s="1"/>
  <c r="N53" i="3"/>
  <c r="J22" i="5" s="1"/>
  <c r="N83" i="3"/>
  <c r="O80" i="3" s="1"/>
  <c r="O47" i="3"/>
  <c r="O50" i="3"/>
  <c r="P8" i="3"/>
  <c r="P37" i="3" s="1"/>
  <c r="O15" i="3"/>
  <c r="O93" i="3" s="1"/>
  <c r="M13" i="4" s="1"/>
  <c r="M82" i="3"/>
  <c r="J13" i="5" l="1"/>
  <c r="N36" i="3"/>
  <c r="J32" i="5"/>
  <c r="I16" i="5"/>
  <c r="J14" i="5"/>
  <c r="O33" i="3"/>
  <c r="K10" i="5"/>
  <c r="K17" i="5" s="1"/>
  <c r="N82" i="3"/>
  <c r="P50" i="3"/>
  <c r="Q8" i="3"/>
  <c r="D73" i="3" s="1"/>
  <c r="Q60" i="3" s="1"/>
  <c r="P15" i="3"/>
  <c r="P93" i="3" s="1"/>
  <c r="N13" i="4" s="1"/>
  <c r="O83" i="3"/>
  <c r="P80" i="3" s="1"/>
  <c r="P47" i="3"/>
  <c r="O49" i="3"/>
  <c r="O48" i="3" s="1"/>
  <c r="O81" i="3" s="1"/>
  <c r="O53" i="3"/>
  <c r="K22" i="5" s="1"/>
  <c r="Q37" i="3" l="1"/>
  <c r="K13" i="5"/>
  <c r="K14" i="5" s="1"/>
  <c r="O36" i="3"/>
  <c r="K32" i="5"/>
  <c r="J16" i="5"/>
  <c r="P33" i="3"/>
  <c r="L10" i="5"/>
  <c r="L17" i="5" s="1"/>
  <c r="O82" i="3"/>
  <c r="P53" i="3"/>
  <c r="L22" i="5" s="1"/>
  <c r="P49" i="3"/>
  <c r="P48" i="3" s="1"/>
  <c r="P81" i="3" s="1"/>
  <c r="Q50" i="3"/>
  <c r="Q15" i="3"/>
  <c r="Q93" i="3" s="1"/>
  <c r="O13" i="4" s="1"/>
  <c r="P83" i="3"/>
  <c r="Q80" i="3" s="1"/>
  <c r="Q47" i="3"/>
  <c r="Q49" i="3" s="1"/>
  <c r="Q71" i="3" l="1"/>
  <c r="N69" i="3"/>
  <c r="P67" i="3"/>
  <c r="Q67" i="3"/>
  <c r="Q68" i="3"/>
  <c r="R71" i="3"/>
  <c r="L68" i="3"/>
  <c r="O68" i="3"/>
  <c r="R70" i="3"/>
  <c r="O69" i="3"/>
  <c r="L67" i="3"/>
  <c r="N67" i="3"/>
  <c r="N68" i="3"/>
  <c r="M67" i="3"/>
  <c r="Q72" i="3"/>
  <c r="Q73" i="3"/>
  <c r="P71" i="3"/>
  <c r="R73" i="3"/>
  <c r="Q70" i="3"/>
  <c r="M69" i="3"/>
  <c r="O70" i="3"/>
  <c r="P70" i="3"/>
  <c r="R67" i="3"/>
  <c r="Q69" i="3"/>
  <c r="O67" i="3"/>
  <c r="P72" i="3"/>
  <c r="R68" i="3"/>
  <c r="K67" i="3"/>
  <c r="P69" i="3"/>
  <c r="N70" i="3"/>
  <c r="M68" i="3"/>
  <c r="R74" i="3"/>
  <c r="R72" i="3"/>
  <c r="R69" i="3"/>
  <c r="O71" i="3"/>
  <c r="P68" i="3"/>
  <c r="L32" i="5"/>
  <c r="L13" i="5"/>
  <c r="L14" i="5" s="1"/>
  <c r="P36" i="3"/>
  <c r="K16" i="5"/>
  <c r="Q33" i="3"/>
  <c r="M10" i="5"/>
  <c r="M17" i="5" s="1"/>
  <c r="P82" i="3"/>
  <c r="R66" i="3"/>
  <c r="K66" i="3"/>
  <c r="K76" i="3" s="1"/>
  <c r="L66" i="3"/>
  <c r="M66" i="3"/>
  <c r="M76" i="3" s="1"/>
  <c r="N66" i="3"/>
  <c r="O66" i="3"/>
  <c r="J66" i="3"/>
  <c r="J76" i="3" s="1"/>
  <c r="Q66" i="3"/>
  <c r="P66" i="3"/>
  <c r="Q53" i="3"/>
  <c r="M22" i="5" s="1"/>
  <c r="Q83" i="3"/>
  <c r="R80" i="3" s="1"/>
  <c r="Q48" i="3"/>
  <c r="Q81" i="3" s="1"/>
  <c r="R47" i="3"/>
  <c r="L76" i="3" l="1"/>
  <c r="L91" i="3" s="1"/>
  <c r="H19" i="5" s="1"/>
  <c r="H20" i="5" s="1"/>
  <c r="O76" i="3"/>
  <c r="M12" i="4" s="1"/>
  <c r="N76" i="3"/>
  <c r="N91" i="3" s="1"/>
  <c r="J19" i="5" s="1"/>
  <c r="J20" i="5" s="1"/>
  <c r="P76" i="3"/>
  <c r="N12" i="4" s="1"/>
  <c r="R76" i="3"/>
  <c r="P12" i="4" s="1"/>
  <c r="Q76" i="3"/>
  <c r="O12" i="4" s="1"/>
  <c r="Q82" i="3"/>
  <c r="J91" i="3"/>
  <c r="F19" i="5" s="1"/>
  <c r="F20" i="5" s="1"/>
  <c r="H12" i="4"/>
  <c r="M91" i="3"/>
  <c r="I19" i="5" s="1"/>
  <c r="I20" i="5" s="1"/>
  <c r="K12" i="4"/>
  <c r="J12" i="4"/>
  <c r="K91" i="3"/>
  <c r="G19" i="5" s="1"/>
  <c r="G20" i="5" s="1"/>
  <c r="I12" i="4"/>
  <c r="N14" i="4"/>
  <c r="M14" i="4"/>
  <c r="K14" i="4"/>
  <c r="P14" i="4"/>
  <c r="L14" i="4"/>
  <c r="J14" i="4"/>
  <c r="I14" i="4"/>
  <c r="O14" i="4"/>
  <c r="M13" i="5"/>
  <c r="M14" i="5" s="1"/>
  <c r="Q36" i="3"/>
  <c r="M32" i="5"/>
  <c r="L16" i="5"/>
  <c r="R53" i="3"/>
  <c r="N22" i="5" s="1"/>
  <c r="R49" i="3"/>
  <c r="R48" i="3" s="1"/>
  <c r="R81" i="3" s="1"/>
  <c r="R82" i="3" s="1"/>
  <c r="P91" i="3" l="1"/>
  <c r="L19" i="5" s="1"/>
  <c r="L20" i="5" s="1"/>
  <c r="O91" i="3"/>
  <c r="K19" i="5" s="1"/>
  <c r="K20" i="5" s="1"/>
  <c r="K23" i="5" s="1"/>
  <c r="Q91" i="3"/>
  <c r="M19" i="5" s="1"/>
  <c r="M20" i="5" s="1"/>
  <c r="L12" i="4"/>
  <c r="R91" i="3"/>
  <c r="N19" i="5" s="1"/>
  <c r="N20" i="5" s="1"/>
  <c r="J78" i="3"/>
  <c r="K59" i="3" s="1"/>
  <c r="K78" i="3" s="1"/>
  <c r="L59" i="3" s="1"/>
  <c r="L78" i="3" s="1"/>
  <c r="M59" i="3" s="1"/>
  <c r="M78" i="3" s="1"/>
  <c r="N59" i="3" s="1"/>
  <c r="N78" i="3" s="1"/>
  <c r="O59" i="3" s="1"/>
  <c r="O78" i="3" s="1"/>
  <c r="P59" i="3" s="1"/>
  <c r="P78" i="3" s="1"/>
  <c r="Q59" i="3" s="1"/>
  <c r="Q78" i="3" s="1"/>
  <c r="R59" i="3" s="1"/>
  <c r="R78" i="3" s="1"/>
  <c r="J23" i="5"/>
  <c r="J33" i="5"/>
  <c r="L9" i="4"/>
  <c r="L11" i="4" s="1"/>
  <c r="G23" i="5"/>
  <c r="I9" i="4"/>
  <c r="I11" i="4" s="1"/>
  <c r="I15" i="4" s="1"/>
  <c r="I19" i="4" s="1"/>
  <c r="G33" i="5"/>
  <c r="H23" i="5"/>
  <c r="J9" i="4"/>
  <c r="J11" i="4" s="1"/>
  <c r="J15" i="4" s="1"/>
  <c r="J19" i="4" s="1"/>
  <c r="H33" i="5"/>
  <c r="I23" i="5"/>
  <c r="K9" i="4"/>
  <c r="K11" i="4" s="1"/>
  <c r="K15" i="4" s="1"/>
  <c r="K19" i="4" s="1"/>
  <c r="I33" i="5"/>
  <c r="F23" i="5"/>
  <c r="H9" i="4"/>
  <c r="H11" i="4" s="1"/>
  <c r="H15" i="4" s="1"/>
  <c r="H19" i="4" s="1"/>
  <c r="F33" i="5"/>
  <c r="M16" i="5"/>
  <c r="L15" i="4" l="1"/>
  <c r="L19" i="4" s="1"/>
  <c r="K33" i="5"/>
  <c r="M9" i="4"/>
  <c r="L118" i="3"/>
  <c r="H26" i="5"/>
  <c r="H29" i="5" s="1"/>
  <c r="H34" i="5" s="1"/>
  <c r="I26" i="5"/>
  <c r="I29" i="5" s="1"/>
  <c r="I34" i="5" s="1"/>
  <c r="M118" i="3"/>
  <c r="K118" i="3"/>
  <c r="G26" i="5"/>
  <c r="G29" i="5" s="1"/>
  <c r="G34" i="5" s="1"/>
  <c r="J118" i="3"/>
  <c r="F26" i="5"/>
  <c r="F29" i="5" s="1"/>
  <c r="F34" i="5" s="1"/>
  <c r="O118" i="3"/>
  <c r="K26" i="5"/>
  <c r="M23" i="5"/>
  <c r="O9" i="4"/>
  <c r="M33" i="5"/>
  <c r="L23" i="5"/>
  <c r="N9" i="4"/>
  <c r="L33" i="5"/>
  <c r="N23" i="5"/>
  <c r="N33" i="5"/>
  <c r="P9" i="4"/>
  <c r="N118" i="3"/>
  <c r="J26" i="5"/>
  <c r="J29" i="5" s="1"/>
  <c r="J34" i="5" s="1"/>
  <c r="Q118" i="3" l="1"/>
  <c r="M26" i="5"/>
  <c r="M133" i="3"/>
  <c r="M120" i="3"/>
  <c r="K120" i="3"/>
  <c r="K133" i="3"/>
  <c r="J133" i="3"/>
  <c r="J135" i="3" s="1"/>
  <c r="K132" i="3" s="1"/>
  <c r="J120" i="3"/>
  <c r="O119" i="3"/>
  <c r="O134" i="3" s="1"/>
  <c r="L26" i="5"/>
  <c r="P118" i="3"/>
  <c r="N133" i="3"/>
  <c r="N120" i="3"/>
  <c r="N26" i="5"/>
  <c r="R118" i="3"/>
  <c r="L133" i="3"/>
  <c r="L120" i="3"/>
  <c r="K135" i="3" l="1"/>
  <c r="L132" i="3" s="1"/>
  <c r="L135" i="3" s="1"/>
  <c r="M132" i="3" s="1"/>
  <c r="M135" i="3" s="1"/>
  <c r="N132" i="3" s="1"/>
  <c r="N135" i="3" s="1"/>
  <c r="O132" i="3" s="1"/>
  <c r="O135" i="3" s="1"/>
  <c r="P132" i="3" s="1"/>
  <c r="P119" i="3"/>
  <c r="P134" i="3" s="1"/>
  <c r="R119" i="3"/>
  <c r="R134" i="3" s="1"/>
  <c r="O120" i="3"/>
  <c r="Q119" i="3"/>
  <c r="Q134" i="3" s="1"/>
  <c r="R120" i="3" l="1"/>
  <c r="R124" i="3" s="1"/>
  <c r="P135" i="3"/>
  <c r="Q132" i="3" s="1"/>
  <c r="Q135" i="3" s="1"/>
  <c r="R132" i="3" s="1"/>
  <c r="R135" i="3" s="1"/>
  <c r="O124" i="3"/>
  <c r="O121" i="3"/>
  <c r="O122" i="3" s="1"/>
  <c r="O127" i="3" s="1"/>
  <c r="Q120" i="3"/>
  <c r="P120" i="3"/>
  <c r="R121" i="3" l="1"/>
  <c r="R122" i="3" s="1"/>
  <c r="R127" i="3" s="1"/>
  <c r="P10" i="4" s="1"/>
  <c r="P11" i="4" s="1"/>
  <c r="P15" i="4" s="1"/>
  <c r="P19" i="4" s="1"/>
  <c r="G35" i="4" s="1"/>
  <c r="G36" i="4" s="1"/>
  <c r="G22" i="4" s="1"/>
  <c r="N28" i="5"/>
  <c r="N29" i="5" s="1"/>
  <c r="N34" i="5" s="1"/>
  <c r="M10" i="4"/>
  <c r="M11" i="4" s="1"/>
  <c r="M15" i="4" s="1"/>
  <c r="M19" i="4" s="1"/>
  <c r="P124" i="3"/>
  <c r="P121" i="3"/>
  <c r="P122" i="3" s="1"/>
  <c r="P127" i="3" s="1"/>
  <c r="Q121" i="3"/>
  <c r="Q122" i="3" s="1"/>
  <c r="Q127" i="3" s="1"/>
  <c r="Q124" i="3"/>
  <c r="O128" i="3"/>
  <c r="O129" i="3" s="1"/>
  <c r="K28" i="5"/>
  <c r="K29" i="5" s="1"/>
  <c r="K34" i="5" s="1"/>
  <c r="R128" i="3" l="1"/>
  <c r="R129" i="3" s="1"/>
  <c r="N10" i="4"/>
  <c r="N11" i="4" s="1"/>
  <c r="N15" i="4" s="1"/>
  <c r="N19" i="4" s="1"/>
  <c r="P128" i="3"/>
  <c r="P129" i="3" s="1"/>
  <c r="L28" i="5"/>
  <c r="L29" i="5" s="1"/>
  <c r="L34" i="5" s="1"/>
  <c r="Q128" i="3"/>
  <c r="Q129" i="3" s="1"/>
  <c r="M28" i="5"/>
  <c r="M29" i="5" s="1"/>
  <c r="M34" i="5" s="1"/>
  <c r="O10" i="4"/>
  <c r="O11" i="4" s="1"/>
  <c r="O15" i="4" s="1"/>
  <c r="O19" i="4" s="1"/>
  <c r="G21" i="4" l="1"/>
  <c r="G23" i="4" s="1"/>
  <c r="G25" i="4" s="1"/>
  <c r="G30" i="4" s="1"/>
  <c r="K23" i="4" s="1"/>
</calcChain>
</file>

<file path=xl/sharedStrings.xml><?xml version="1.0" encoding="utf-8"?>
<sst xmlns="http://schemas.openxmlformats.org/spreadsheetml/2006/main" count="323" uniqueCount="261">
  <si>
    <t>Quick commerce market in India</t>
  </si>
  <si>
    <t>USD billions</t>
  </si>
  <si>
    <t>NRV in million inr</t>
  </si>
  <si>
    <t>FY23</t>
  </si>
  <si>
    <t>FY24</t>
  </si>
  <si>
    <t>Fy25</t>
  </si>
  <si>
    <t>FY26</t>
  </si>
  <si>
    <t>Total orders in mn</t>
  </si>
  <si>
    <t>AOV</t>
  </si>
  <si>
    <t>Advertisement revenue in mn</t>
  </si>
  <si>
    <t>Particulars</t>
  </si>
  <si>
    <t>Units</t>
  </si>
  <si>
    <t>March 31, 2026</t>
  </si>
  <si>
    <t>December 31, 2025</t>
  </si>
  <si>
    <t>September 30, 2025</t>
  </si>
  <si>
    <t>June 30, 2025</t>
  </si>
  <si>
    <t>March 31, 2025</t>
  </si>
  <si>
    <t>December 31, 2024</t>
  </si>
  <si>
    <t>September 30, 2024</t>
  </si>
  <si>
    <t>June 30, 2024</t>
  </si>
  <si>
    <t>March 31, 2024</t>
  </si>
  <si>
    <t>December 31, 2023</t>
  </si>
  <si>
    <t>September 30, 2023</t>
  </si>
  <si>
    <t>June 30, 2023</t>
  </si>
  <si>
    <t>Revenue from operations ⁽¹⁾</t>
  </si>
  <si>
    <t>₹ million</t>
  </si>
  <si>
    <t>Revenue from operations growth (QoQ) ⁽²⁾</t>
  </si>
  <si>
    <t>%</t>
  </si>
  <si>
    <t>-*</t>
  </si>
  <si>
    <t>Advertisement revenue ⁽³⁾</t>
  </si>
  <si>
    <t>Advertisement revenue growth (QoQ) ⁽⁴⁾</t>
  </si>
  <si>
    <t>Other income ⁽⁵⁾</t>
  </si>
  <si>
    <t>Total income ⁽⁶⁾</t>
  </si>
  <si>
    <t>Adjusted EBITDA ⁽⁷⁾</t>
  </si>
  <si>
    <t>Adjusted EBITDA per Order ⁽⁸⁾</t>
  </si>
  <si>
    <t>₹</t>
  </si>
  <si>
    <t>Adjusted EBITDA % ⁽⁹⁾</t>
  </si>
  <si>
    <t>Changes in Working Capital and Capital Expenditure ⁽¹⁰⁾</t>
  </si>
  <si>
    <t>Net cash (used in) operating activities ⁽¹¹⁾</t>
  </si>
  <si>
    <t>Free Cash Flow ⁽¹²⁾</t>
  </si>
  <si>
    <t>Free Cash Flow per Order ⁽¹³⁾</t>
  </si>
  <si>
    <t>Closing Cash Balance Including Investments ⁽¹⁴⁾</t>
  </si>
  <si>
    <t>Fixed cost per order</t>
  </si>
  <si>
    <t>Digital marketing cost per order</t>
  </si>
  <si>
    <t>Q4</t>
  </si>
  <si>
    <t>Fy26</t>
  </si>
  <si>
    <t>Supply chain variable cost per order</t>
  </si>
  <si>
    <t>Total cost per order</t>
  </si>
  <si>
    <t>Total Indian retail market in 2025</t>
  </si>
  <si>
    <t>F&amp;G</t>
  </si>
  <si>
    <t>Lifestyle</t>
  </si>
  <si>
    <t>Electronics</t>
  </si>
  <si>
    <t>Others</t>
  </si>
  <si>
    <t>India's retail market:</t>
  </si>
  <si>
    <t>Zepto's addressable market:</t>
  </si>
  <si>
    <t>Composition</t>
  </si>
  <si>
    <t xml:space="preserve">Growth expected in retail market </t>
  </si>
  <si>
    <t>Total Indian retail market in 2035</t>
  </si>
  <si>
    <t>India's e-commerce market:</t>
  </si>
  <si>
    <t>USD/INR</t>
  </si>
  <si>
    <t>Electronics in %</t>
  </si>
  <si>
    <t>Pharma &amp; OTC in %</t>
  </si>
  <si>
    <t>Lifestyle in %</t>
  </si>
  <si>
    <t>Food &amp; grocery in %</t>
  </si>
  <si>
    <t>Food and grocery market share in %</t>
  </si>
  <si>
    <t>Lifestyle market share in %</t>
  </si>
  <si>
    <t>Electronics market share in %</t>
  </si>
  <si>
    <t>Pharma market share in %</t>
  </si>
  <si>
    <t>Others market share in %</t>
  </si>
  <si>
    <t>China online market share</t>
  </si>
  <si>
    <t>F&amp;B</t>
  </si>
  <si>
    <t xml:space="preserve">Lifestyle </t>
  </si>
  <si>
    <t>Pharma</t>
  </si>
  <si>
    <t>china gdp per capita</t>
  </si>
  <si>
    <t>india gdp per capita</t>
  </si>
  <si>
    <t>china smartphone user in 2025</t>
  </si>
  <si>
    <t>india expected smartphone users</t>
  </si>
  <si>
    <t>china online retail users</t>
  </si>
  <si>
    <t>india retail online users in 2035</t>
  </si>
  <si>
    <t>per capital retail spends in china</t>
  </si>
  <si>
    <t>per capital retail spends in India in 2035</t>
  </si>
  <si>
    <t>Online market of different categories in 2025</t>
  </si>
  <si>
    <t>Expected online market of different categories in 2035:</t>
  </si>
  <si>
    <t>Total addressable market in 2035</t>
  </si>
  <si>
    <t>Total addressable market in 2025</t>
  </si>
  <si>
    <t>advr</t>
  </si>
  <si>
    <t>online retail share in china as a % of total digital advertising market</t>
  </si>
  <si>
    <t>Zepto's digital advertising TAM</t>
  </si>
  <si>
    <t>India's quick commerce market as a % of total digital advertising market in 2025</t>
  </si>
  <si>
    <t>India's e-commerce market as a % of total digital advertising market in 2025</t>
  </si>
  <si>
    <t>Expected India's e-commerce market as a % of total digital advertising market in 2035</t>
  </si>
  <si>
    <t>Expected India's quick commerce market as a % of total digital advertising market in 2035</t>
  </si>
  <si>
    <t>USD millions</t>
  </si>
  <si>
    <t>Bup</t>
  </si>
  <si>
    <t>Revenue from Q Comm</t>
  </si>
  <si>
    <t>Revenue from advt</t>
  </si>
  <si>
    <t>Takeaway rate</t>
  </si>
  <si>
    <t>Quick Commerce</t>
  </si>
  <si>
    <t>Deviation row</t>
  </si>
  <si>
    <t>Multiplier row</t>
  </si>
  <si>
    <t>Takeaway rate (inventory-led)</t>
  </si>
  <si>
    <t>Total revenue</t>
  </si>
  <si>
    <t>(INR millions)</t>
  </si>
  <si>
    <t>NRV</t>
  </si>
  <si>
    <t>NRV growth rate</t>
  </si>
  <si>
    <t>Zepto's market share out of TAM in 2025</t>
  </si>
  <si>
    <t>Zepto's market share out of TAM in 2035</t>
  </si>
  <si>
    <t>Bull</t>
  </si>
  <si>
    <t>Base</t>
  </si>
  <si>
    <t>Bear</t>
  </si>
  <si>
    <t>Digital Advertising</t>
  </si>
  <si>
    <t>TAM</t>
  </si>
  <si>
    <t>Zepto's share</t>
  </si>
  <si>
    <t>Gross margin as a % of NOV</t>
  </si>
  <si>
    <t>Cost of goods sold</t>
  </si>
  <si>
    <t>Revenue</t>
  </si>
  <si>
    <t>Purchase of traded goods</t>
  </si>
  <si>
    <t>Adjusted EBITDA per order (recent quarter)</t>
  </si>
  <si>
    <t>Adjusted EBITDA per order (recent quarter) blinkit</t>
  </si>
  <si>
    <t>FY25</t>
  </si>
  <si>
    <t>ATUs</t>
  </si>
  <si>
    <t>Total ATUs</t>
  </si>
  <si>
    <t>Industry ATUs</t>
  </si>
  <si>
    <t>Variable cost per order</t>
  </si>
  <si>
    <t>Total cost per per order</t>
  </si>
  <si>
    <t>EBITDA per order</t>
  </si>
  <si>
    <t>EBITDA per order %</t>
  </si>
  <si>
    <t>EBITDA Margin for quick commerce</t>
  </si>
  <si>
    <t>Lease Liabilties</t>
  </si>
  <si>
    <t>Interest cost</t>
  </si>
  <si>
    <t>D&amp;A</t>
  </si>
  <si>
    <t>Financing Component</t>
  </si>
  <si>
    <t>Interest on lease liabilties</t>
  </si>
  <si>
    <t>Opening lease liabilities</t>
  </si>
  <si>
    <t>Additions in lease liabilities</t>
  </si>
  <si>
    <t>Repayment of lease liabilities</t>
  </si>
  <si>
    <t>Closing lease liabilities</t>
  </si>
  <si>
    <t>Annual interest expense</t>
  </si>
  <si>
    <t>Tenure of lease liabialities (in years)</t>
  </si>
  <si>
    <t>Closing lease liabilities (as a % of NRV)</t>
  </si>
  <si>
    <t>Years remaining tangible assets:</t>
  </si>
  <si>
    <t>Depreciation years on tangible assets:</t>
  </si>
  <si>
    <t xml:space="preserve">Opening net P,P&amp;E </t>
  </si>
  <si>
    <t>Capex</t>
  </si>
  <si>
    <t>Depreciation to existing tangible assets</t>
  </si>
  <si>
    <t>CAPEX</t>
  </si>
  <si>
    <t xml:space="preserve">Closing net P,P&amp;E </t>
  </si>
  <si>
    <t>Opening ROU assets</t>
  </si>
  <si>
    <t>Additions</t>
  </si>
  <si>
    <t>Depreciation on ROU assets</t>
  </si>
  <si>
    <t>Closing ROU assets</t>
  </si>
  <si>
    <t>Years remaining intangible assets:</t>
  </si>
  <si>
    <t>Opening intangible assets</t>
  </si>
  <si>
    <t>Amortisation to existing intangible assets</t>
  </si>
  <si>
    <t>Closing intangible assets</t>
  </si>
  <si>
    <t>Total depreciation &amp; amortisation</t>
  </si>
  <si>
    <t>Capex as a % of NOV</t>
  </si>
  <si>
    <t>Capec</t>
  </si>
  <si>
    <t>Zepto's share in ATUs</t>
  </si>
  <si>
    <t>Revenue per ATU</t>
  </si>
  <si>
    <t>ROU assets</t>
  </si>
  <si>
    <t>Depreciation on tangible assets</t>
  </si>
  <si>
    <t>Schedules</t>
  </si>
  <si>
    <t>Change in Working Capital</t>
  </si>
  <si>
    <t>Terminal value</t>
  </si>
  <si>
    <t>Perpetuity Growth Method</t>
  </si>
  <si>
    <t>WACC</t>
  </si>
  <si>
    <t>LT growth rate</t>
  </si>
  <si>
    <t xml:space="preserve">Terminal value </t>
  </si>
  <si>
    <t>Present value of terminal value</t>
  </si>
  <si>
    <t>Mid-year discounting factor</t>
  </si>
  <si>
    <t>Year-end discounting factor</t>
  </si>
  <si>
    <t>Eternal Limited</t>
  </si>
  <si>
    <t>Swiggy</t>
  </si>
  <si>
    <t>DoorDash</t>
  </si>
  <si>
    <t>Meituan</t>
  </si>
  <si>
    <t>Instacart</t>
  </si>
  <si>
    <t>Coupang</t>
  </si>
  <si>
    <t>Grab Holdings</t>
  </si>
  <si>
    <t>Equity beta</t>
  </si>
  <si>
    <t>E-Comm Revenue Contribution</t>
  </si>
  <si>
    <t>D/E (last 3 years)</t>
  </si>
  <si>
    <t>Tax rate (%)</t>
  </si>
  <si>
    <t>Unlevered beta</t>
  </si>
  <si>
    <t>Wtd Unlevered Beta</t>
  </si>
  <si>
    <t>Zepto's beta</t>
  </si>
  <si>
    <t>DCF Valuation</t>
  </si>
  <si>
    <t>Date of cash flows</t>
  </si>
  <si>
    <t>EBIT</t>
  </si>
  <si>
    <t>Less: tax paid</t>
  </si>
  <si>
    <t>NOPAT</t>
  </si>
  <si>
    <t>Add: depreciation &amp; amortisation</t>
  </si>
  <si>
    <t>Less: net changes in WC</t>
  </si>
  <si>
    <t>Less: net capex</t>
  </si>
  <si>
    <t>Free cash flow to firm</t>
  </si>
  <si>
    <t>Discounting rate (%)</t>
  </si>
  <si>
    <t>PV factor - mid year discounting</t>
  </si>
  <si>
    <t>PV factor - year end discounting</t>
  </si>
  <si>
    <t>Present value of FCFF</t>
  </si>
  <si>
    <t>Gordon growth</t>
  </si>
  <si>
    <t>Present value of explicit period</t>
  </si>
  <si>
    <t>Sensitivity analysis</t>
  </si>
  <si>
    <t>Present value of terminal period</t>
  </si>
  <si>
    <t>DCF value of firm</t>
  </si>
  <si>
    <t>Terminal growth rate</t>
  </si>
  <si>
    <t>Add: investments</t>
  </si>
  <si>
    <t>Total value of firm</t>
  </si>
  <si>
    <t>Less: gross debt &amp; debt equivalents</t>
  </si>
  <si>
    <t>Less: minority interest</t>
  </si>
  <si>
    <t>DCF value of common equity</t>
  </si>
  <si>
    <t>Income Statement</t>
  </si>
  <si>
    <t>Gross profit</t>
  </si>
  <si>
    <t>EBITDA</t>
  </si>
  <si>
    <t>Depreciation &amp; amortisation</t>
  </si>
  <si>
    <t>Interest expense</t>
  </si>
  <si>
    <t>EBT</t>
  </si>
  <si>
    <t>Adjusted EBT</t>
  </si>
  <si>
    <t>Tax expense</t>
  </si>
  <si>
    <t>Net income</t>
  </si>
  <si>
    <t>Margins</t>
  </si>
  <si>
    <t>EBITDA margin</t>
  </si>
  <si>
    <t>EBIT margin</t>
  </si>
  <si>
    <t>Net margin</t>
  </si>
  <si>
    <t>Fixed &amp; variable costs</t>
  </si>
  <si>
    <t xml:space="preserve">Revenue </t>
  </si>
  <si>
    <t>Quick commerce</t>
  </si>
  <si>
    <t>Digital advertisements</t>
  </si>
  <si>
    <t>F&amp;V</t>
  </si>
  <si>
    <t>Other income</t>
  </si>
  <si>
    <t>Tax rate</t>
  </si>
  <si>
    <t>Accounting EBT  (as is on I/S)</t>
  </si>
  <si>
    <t>Tax losses carry forward utilised</t>
  </si>
  <si>
    <t xml:space="preserve">Accounting EBT  </t>
  </si>
  <si>
    <t>Reduction in EBT for timing differences</t>
  </si>
  <si>
    <t>Government EBT</t>
  </si>
  <si>
    <t>Accounting taxes</t>
  </si>
  <si>
    <t>Taxes as appearing on Income Statement</t>
  </si>
  <si>
    <t>Current tax paid</t>
  </si>
  <si>
    <t>Increase (decrease) in deferred income taxes</t>
  </si>
  <si>
    <t>Total income taxes (same as accounting taxes above)</t>
  </si>
  <si>
    <t>Tax loss carry forward consumption</t>
  </si>
  <si>
    <t>Opening pool</t>
  </si>
  <si>
    <t>Utilised</t>
  </si>
  <si>
    <t>Closing pool</t>
  </si>
  <si>
    <t>Addition</t>
  </si>
  <si>
    <t>Zepto</t>
  </si>
  <si>
    <t>of revenue %</t>
  </si>
  <si>
    <t>WACC calculation:</t>
  </si>
  <si>
    <t>Cost of equity- 100% weightage</t>
  </si>
  <si>
    <t>Risk-free rate</t>
  </si>
  <si>
    <t>Adjusted beta</t>
  </si>
  <si>
    <t>Developed market risk premium (%)</t>
  </si>
  <si>
    <t>Country risk premium (%)</t>
  </si>
  <si>
    <t>Cost of equity capital (%)</t>
  </si>
  <si>
    <t>WACC terminal year logic</t>
  </si>
  <si>
    <t>Investments</t>
  </si>
  <si>
    <t>Cash and cash eqv</t>
  </si>
  <si>
    <t>Add: cash &amp; cash equivalents</t>
  </si>
  <si>
    <t>IPO proceeds</t>
  </si>
  <si>
    <t>Add: IPO proceeds</t>
  </si>
  <si>
    <t>Assumptions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</si>
</sst>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 * #,##0_ ;_ * \-#,##0_ ;_ * &quot;-&quot;_ ;_ @_ "/>
    <numFmt numFmtId="43" formatCode="_ * #,##0.00_ ;_ * \-#,##0.00_ ;_ * &quot;-&quot;??_ ;_ @_ "/>
    <numFmt numFmtId="164" formatCode="0.0%"/>
    <numFmt numFmtId="166" formatCode="_ * #,##0.000_ ;_ * \-#,##0.000_ ;_ * &quot;-&quot;_ ;_ @_ "/>
    <numFmt numFmtId="167" formatCode="_ * #,##0.00_ ;_ * \-#,##0.00_ ;_ * &quot;-&quot;_ ;_ @_ "/>
    <numFmt numFmtId="168" formatCode="General&quot;A&quot;"/>
    <numFmt numFmtId="169" formatCode="General&quot;A/F&quot;"/>
    <numFmt numFmtId="170" formatCode="General&quot;F&quot;"/>
    <numFmt numFmtId="171" formatCode="0.0000000000000000%"/>
    <numFmt numFmtId="172" formatCode="_ * #,##0.0_ ;_ * \-#,##0.0_ ;_ * &quot;-&quot;?_ ;_ @_ "/>
    <numFmt numFmtId="173" formatCode="_ * #,##0_ ;_ * \-#,##0_ ;_ * &quot;-&quot;??_ ;_ @_ "/>
    <numFmt numFmtId="174" formatCode="0.0"/>
    <numFmt numFmtId="175" formatCode="0\A"/>
    <numFmt numFmtId="176" formatCode="#,##0.00000"/>
    <numFmt numFmtId="177" formatCode="0.0000%"/>
    <numFmt numFmtId="180" formatCode="0.000000%"/>
  </numFmts>
  <fonts count="16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u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24"/>
      <color theme="1"/>
      <name val="Arial"/>
      <family val="2"/>
    </font>
    <font>
      <b/>
      <sz val="15"/>
      <color theme="1"/>
      <name val="Arial"/>
      <family val="2"/>
    </font>
    <font>
      <b/>
      <sz val="10"/>
      <name val="Arial"/>
      <family val="2"/>
    </font>
    <font>
      <sz val="11"/>
      <color theme="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E008E"/>
        <bgColor indexed="64"/>
      </patternFill>
    </fill>
    <fill>
      <patternFill patternType="solid">
        <fgColor rgb="FFF5EEF7"/>
        <bgColor indexed="64"/>
      </patternFill>
    </fill>
  </fills>
  <borders count="2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4" fontId="5" fillId="0" borderId="1" xfId="0" applyNumberFormat="1" applyFont="1" applyBorder="1" applyAlignment="1">
      <alignment horizontal="right" wrapText="1"/>
    </xf>
    <xf numFmtId="10" fontId="5" fillId="0" borderId="1" xfId="0" applyNumberFormat="1" applyFont="1" applyBorder="1" applyAlignment="1">
      <alignment horizontal="right" wrapText="1"/>
    </xf>
    <xf numFmtId="0" fontId="5" fillId="0" borderId="1" xfId="0" applyFont="1" applyBorder="1"/>
    <xf numFmtId="0" fontId="5" fillId="0" borderId="0" xfId="0" applyFont="1"/>
    <xf numFmtId="0" fontId="5" fillId="0" borderId="2" xfId="0" applyFont="1" applyBorder="1" applyAlignment="1">
      <alignment wrapText="1"/>
    </xf>
    <xf numFmtId="43" fontId="0" fillId="0" borderId="0" xfId="0" applyNumberFormat="1"/>
    <xf numFmtId="10" fontId="0" fillId="0" borderId="0" xfId="0" applyNumberFormat="1"/>
    <xf numFmtId="9" fontId="0" fillId="0" borderId="0" xfId="0" applyNumberFormat="1"/>
    <xf numFmtId="4" fontId="0" fillId="0" borderId="0" xfId="0" applyNumberFormat="1"/>
    <xf numFmtId="0" fontId="6" fillId="0" borderId="0" xfId="0" applyFont="1"/>
    <xf numFmtId="41" fontId="2" fillId="0" borderId="0" xfId="0" applyNumberFormat="1" applyFont="1"/>
    <xf numFmtId="166" fontId="2" fillId="0" borderId="0" xfId="0" applyNumberFormat="1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167" fontId="2" fillId="0" borderId="0" xfId="0" applyNumberFormat="1" applyFont="1"/>
    <xf numFmtId="167" fontId="3" fillId="0" borderId="0" xfId="0" applyNumberFormat="1" applyFont="1"/>
    <xf numFmtId="0" fontId="2" fillId="0" borderId="0" xfId="0" quotePrefix="1" applyFont="1" applyAlignment="1">
      <alignment horizontal="left"/>
    </xf>
    <xf numFmtId="41" fontId="6" fillId="0" borderId="3" xfId="0" applyNumberFormat="1" applyFont="1" applyBorder="1"/>
    <xf numFmtId="0" fontId="3" fillId="0" borderId="4" xfId="0" applyFont="1" applyBorder="1"/>
    <xf numFmtId="0" fontId="2" fillId="0" borderId="4" xfId="0" applyFont="1" applyBorder="1"/>
    <xf numFmtId="0" fontId="2" fillId="0" borderId="5" xfId="0" applyFont="1" applyBorder="1"/>
    <xf numFmtId="15" fontId="2" fillId="0" borderId="0" xfId="0" applyNumberFormat="1" applyFont="1"/>
    <xf numFmtId="168" fontId="2" fillId="0" borderId="4" xfId="0" applyNumberFormat="1" applyFont="1" applyBorder="1"/>
    <xf numFmtId="170" fontId="2" fillId="0" borderId="4" xfId="0" applyNumberFormat="1" applyFont="1" applyBorder="1"/>
    <xf numFmtId="164" fontId="2" fillId="2" borderId="0" xfId="0" applyNumberFormat="1" applyFont="1" applyFill="1"/>
    <xf numFmtId="43" fontId="2" fillId="0" borderId="0" xfId="0" applyNumberFormat="1" applyFont="1"/>
    <xf numFmtId="41" fontId="2" fillId="0" borderId="3" xfId="0" applyNumberFormat="1" applyFont="1" applyBorder="1"/>
    <xf numFmtId="41" fontId="6" fillId="0" borderId="0" xfId="0" applyNumberFormat="1" applyFont="1"/>
    <xf numFmtId="10" fontId="2" fillId="0" borderId="0" xfId="0" applyNumberFormat="1" applyFont="1"/>
    <xf numFmtId="171" fontId="0" fillId="0" borderId="0" xfId="0" applyNumberFormat="1"/>
    <xf numFmtId="0" fontId="2" fillId="0" borderId="6" xfId="0" applyFont="1" applyBorder="1"/>
    <xf numFmtId="164" fontId="2" fillId="0" borderId="7" xfId="0" applyNumberFormat="1" applyFont="1" applyBorder="1"/>
    <xf numFmtId="41" fontId="6" fillId="0" borderId="8" xfId="0" applyNumberFormat="1" applyFont="1" applyBorder="1"/>
    <xf numFmtId="172" fontId="2" fillId="0" borderId="0" xfId="0" applyNumberFormat="1" applyFont="1"/>
    <xf numFmtId="0" fontId="2" fillId="0" borderId="9" xfId="0" applyFont="1" applyBorder="1"/>
    <xf numFmtId="0" fontId="2" fillId="0" borderId="3" xfId="0" applyFont="1" applyBorder="1"/>
    <xf numFmtId="1" fontId="2" fillId="0" borderId="10" xfId="0" applyNumberFormat="1" applyFont="1" applyBorder="1"/>
    <xf numFmtId="1" fontId="2" fillId="0" borderId="0" xfId="0" applyNumberFormat="1" applyFont="1"/>
    <xf numFmtId="0" fontId="2" fillId="0" borderId="11" xfId="0" applyFont="1" applyBorder="1"/>
    <xf numFmtId="0" fontId="2" fillId="0" borderId="12" xfId="0" applyFont="1" applyBorder="1"/>
    <xf numFmtId="1" fontId="2" fillId="0" borderId="13" xfId="0" applyNumberFormat="1" applyFont="1" applyBorder="1"/>
    <xf numFmtId="0" fontId="7" fillId="0" borderId="0" xfId="0" applyFont="1" applyAlignment="1">
      <alignment horizontal="center"/>
    </xf>
    <xf numFmtId="173" fontId="2" fillId="0" borderId="14" xfId="0" applyNumberFormat="1" applyFont="1" applyBorder="1"/>
    <xf numFmtId="173" fontId="2" fillId="0" borderId="15" xfId="0" applyNumberFormat="1" applyFont="1" applyBorder="1"/>
    <xf numFmtId="9" fontId="2" fillId="0" borderId="0" xfId="0" applyNumberFormat="1" applyFont="1"/>
    <xf numFmtId="173" fontId="2" fillId="0" borderId="0" xfId="0" applyNumberFormat="1" applyFont="1"/>
    <xf numFmtId="0" fontId="2" fillId="0" borderId="0" xfId="0" applyFont="1" applyAlignment="1">
      <alignment horizontal="centerContinuous"/>
    </xf>
    <xf numFmtId="0" fontId="6" fillId="0" borderId="6" xfId="0" applyFont="1" applyBorder="1"/>
    <xf numFmtId="0" fontId="6" fillId="0" borderId="16" xfId="0" applyFont="1" applyBorder="1"/>
    <xf numFmtId="0" fontId="6" fillId="0" borderId="16" xfId="0" applyFont="1" applyBorder="1" applyAlignment="1">
      <alignment horizontal="centerContinuous"/>
    </xf>
    <xf numFmtId="0" fontId="6" fillId="0" borderId="7" xfId="0" applyFont="1" applyBorder="1" applyAlignment="1">
      <alignment horizontal="centerContinuous"/>
    </xf>
    <xf numFmtId="0" fontId="6" fillId="0" borderId="9" xfId="0" applyFont="1" applyBorder="1"/>
    <xf numFmtId="164" fontId="6" fillId="0" borderId="0" xfId="0" applyNumberFormat="1" applyFont="1"/>
    <xf numFmtId="10" fontId="2" fillId="0" borderId="17" xfId="0" applyNumberFormat="1" applyFont="1" applyBorder="1"/>
    <xf numFmtId="0" fontId="2" fillId="0" borderId="18" xfId="0" applyFont="1" applyBorder="1"/>
    <xf numFmtId="0" fontId="2" fillId="0" borderId="17" xfId="0" applyFont="1" applyBorder="1"/>
    <xf numFmtId="41" fontId="2" fillId="0" borderId="12" xfId="0" applyNumberFormat="1" applyFont="1" applyBorder="1"/>
    <xf numFmtId="0" fontId="2" fillId="0" borderId="13" xfId="0" applyFont="1" applyBorder="1"/>
    <xf numFmtId="174" fontId="2" fillId="0" borderId="3" xfId="0" applyNumberFormat="1" applyFont="1" applyBorder="1"/>
    <xf numFmtId="174" fontId="2" fillId="0" borderId="10" xfId="0" applyNumberFormat="1" applyFont="1" applyBorder="1"/>
    <xf numFmtId="174" fontId="2" fillId="0" borderId="12" xfId="0" applyNumberFormat="1" applyFont="1" applyBorder="1"/>
    <xf numFmtId="174" fontId="2" fillId="0" borderId="13" xfId="0" applyNumberFormat="1" applyFont="1" applyBorder="1"/>
    <xf numFmtId="2" fontId="2" fillId="0" borderId="0" xfId="0" applyNumberFormat="1" applyFont="1"/>
    <xf numFmtId="0" fontId="6" fillId="0" borderId="19" xfId="0" applyFont="1" applyBorder="1"/>
    <xf numFmtId="0" fontId="8" fillId="0" borderId="0" xfId="0" applyFont="1" applyAlignment="1">
      <alignment horizontal="centerContinuous"/>
    </xf>
    <xf numFmtId="41" fontId="2" fillId="0" borderId="0" xfId="0" applyNumberFormat="1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3" fillId="0" borderId="0" xfId="0" applyFont="1"/>
    <xf numFmtId="15" fontId="2" fillId="0" borderId="5" xfId="0" applyNumberFormat="1" applyFont="1" applyBorder="1"/>
    <xf numFmtId="15" fontId="2" fillId="0" borderId="4" xfId="0" applyNumberFormat="1" applyFont="1" applyBorder="1"/>
    <xf numFmtId="169" fontId="2" fillId="0" borderId="0" xfId="0" applyNumberFormat="1" applyFont="1"/>
    <xf numFmtId="175" fontId="10" fillId="0" borderId="0" xfId="0" quotePrefix="1" applyNumberFormat="1" applyFont="1" applyAlignment="1">
      <alignment horizontal="right"/>
    </xf>
    <xf numFmtId="41" fontId="6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41" fontId="11" fillId="3" borderId="0" xfId="0" applyNumberFormat="1" applyFont="1" applyFill="1"/>
    <xf numFmtId="168" fontId="2" fillId="0" borderId="0" xfId="0" applyNumberFormat="1" applyFont="1"/>
    <xf numFmtId="170" fontId="2" fillId="0" borderId="0" xfId="0" applyNumberFormat="1" applyFont="1"/>
    <xf numFmtId="41" fontId="12" fillId="0" borderId="0" xfId="0" applyNumberFormat="1" applyFont="1"/>
    <xf numFmtId="41" fontId="13" fillId="0" borderId="0" xfId="0" applyNumberFormat="1" applyFont="1"/>
    <xf numFmtId="176" fontId="0" fillId="0" borderId="0" xfId="0" applyNumberFormat="1"/>
    <xf numFmtId="41" fontId="14" fillId="0" borderId="0" xfId="0" applyNumberFormat="1" applyFont="1"/>
    <xf numFmtId="0" fontId="2" fillId="0" borderId="16" xfId="0" applyFont="1" applyBorder="1"/>
    <xf numFmtId="177" fontId="2" fillId="0" borderId="7" xfId="0" applyNumberFormat="1" applyFont="1" applyBorder="1"/>
    <xf numFmtId="41" fontId="2" fillId="0" borderId="10" xfId="0" applyNumberFormat="1" applyFont="1" applyBorder="1"/>
    <xf numFmtId="0" fontId="6" fillId="0" borderId="11" xfId="0" applyFont="1" applyBorder="1"/>
    <xf numFmtId="0" fontId="6" fillId="0" borderId="12" xfId="0" applyFont="1" applyBorder="1"/>
    <xf numFmtId="41" fontId="6" fillId="0" borderId="16" xfId="0" applyNumberFormat="1" applyFont="1" applyBorder="1"/>
    <xf numFmtId="41" fontId="6" fillId="0" borderId="7" xfId="0" applyNumberFormat="1" applyFont="1" applyBorder="1"/>
    <xf numFmtId="164" fontId="2" fillId="0" borderId="17" xfId="0" applyNumberFormat="1" applyFont="1" applyBorder="1"/>
    <xf numFmtId="164" fontId="2" fillId="0" borderId="12" xfId="0" applyNumberFormat="1" applyFont="1" applyBorder="1"/>
    <xf numFmtId="164" fontId="2" fillId="0" borderId="13" xfId="0" applyNumberFormat="1" applyFont="1" applyBorder="1"/>
    <xf numFmtId="0" fontId="6" fillId="0" borderId="4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1" fontId="2" fillId="0" borderId="16" xfId="0" applyNumberFormat="1" applyFont="1" applyBorder="1"/>
    <xf numFmtId="10" fontId="3" fillId="0" borderId="0" xfId="0" applyNumberFormat="1" applyFont="1"/>
    <xf numFmtId="164" fontId="3" fillId="0" borderId="12" xfId="0" applyNumberFormat="1" applyFont="1" applyBorder="1"/>
    <xf numFmtId="10" fontId="2" fillId="0" borderId="12" xfId="0" applyNumberFormat="1" applyFont="1" applyBorder="1"/>
    <xf numFmtId="180" fontId="0" fillId="0" borderId="0" xfId="0" applyNumberFormat="1"/>
    <xf numFmtId="0" fontId="15" fillId="4" borderId="6" xfId="0" applyFont="1" applyFill="1" applyBorder="1"/>
    <xf numFmtId="0" fontId="15" fillId="4" borderId="16" xfId="0" applyFont="1" applyFill="1" applyBorder="1"/>
    <xf numFmtId="0" fontId="11" fillId="4" borderId="16" xfId="0" applyFont="1" applyFill="1" applyBorder="1"/>
    <xf numFmtId="41" fontId="15" fillId="4" borderId="7" xfId="0" applyNumberFormat="1" applyFont="1" applyFill="1" applyBorder="1"/>
    <xf numFmtId="10" fontId="6" fillId="0" borderId="0" xfId="0" applyNumberFormat="1" applyFont="1"/>
    <xf numFmtId="0" fontId="6" fillId="0" borderId="0" xfId="0" applyFont="1" applyAlignment="1">
      <alignment horizontal="centerContinuous"/>
    </xf>
    <xf numFmtId="0" fontId="1" fillId="4" borderId="18" xfId="0" applyFont="1" applyFill="1" applyBorder="1"/>
    <xf numFmtId="0" fontId="2" fillId="4" borderId="0" xfId="0" applyFont="1" applyFill="1" applyBorder="1"/>
    <xf numFmtId="0" fontId="3" fillId="4" borderId="0" xfId="0" applyFont="1" applyFill="1" applyBorder="1" applyAlignment="1">
      <alignment horizontal="center"/>
    </xf>
    <xf numFmtId="0" fontId="2" fillId="4" borderId="17" xfId="0" applyFont="1" applyFill="1" applyBorder="1"/>
    <xf numFmtId="0" fontId="2" fillId="5" borderId="18" xfId="0" applyFont="1" applyFill="1" applyBorder="1"/>
    <xf numFmtId="0" fontId="2" fillId="5" borderId="0" xfId="0" applyFont="1" applyFill="1" applyBorder="1"/>
    <xf numFmtId="0" fontId="3" fillId="5" borderId="0" xfId="0" applyFont="1" applyFill="1" applyBorder="1" applyAlignment="1">
      <alignment horizontal="center"/>
    </xf>
    <xf numFmtId="0" fontId="2" fillId="5" borderId="17" xfId="0" applyFont="1" applyFill="1" applyBorder="1"/>
    <xf numFmtId="0" fontId="2" fillId="0" borderId="0" xfId="0" applyFont="1" applyBorder="1"/>
    <xf numFmtId="0" fontId="4" fillId="0" borderId="18" xfId="0" applyFont="1" applyBorder="1"/>
    <xf numFmtId="0" fontId="3" fillId="0" borderId="0" xfId="0" applyFont="1" applyBorder="1" applyAlignment="1">
      <alignment horizontal="center"/>
    </xf>
    <xf numFmtId="41" fontId="2" fillId="0" borderId="17" xfId="0" applyNumberFormat="1" applyFont="1" applyBorder="1"/>
    <xf numFmtId="0" fontId="6" fillId="0" borderId="18" xfId="0" applyFont="1" applyBorder="1"/>
    <xf numFmtId="41" fontId="2" fillId="0" borderId="0" xfId="0" applyNumberFormat="1" applyFont="1" applyBorder="1"/>
    <xf numFmtId="164" fontId="2" fillId="0" borderId="0" xfId="0" applyNumberFormat="1" applyFont="1" applyBorder="1"/>
    <xf numFmtId="9" fontId="2" fillId="0" borderId="0" xfId="0" applyNumberFormat="1" applyFont="1" applyBorder="1"/>
    <xf numFmtId="43" fontId="2" fillId="0" borderId="17" xfId="0" applyNumberFormat="1" applyFont="1" applyBorder="1"/>
    <xf numFmtId="10" fontId="2" fillId="0" borderId="0" xfId="0" applyNumberFormat="1" applyFont="1" applyBorder="1"/>
    <xf numFmtId="0" fontId="6" fillId="0" borderId="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9" fontId="2" fillId="0" borderId="0" xfId="0" applyNumberFormat="1" applyFont="1" applyBorder="1" applyAlignment="1">
      <alignment horizontal="center"/>
    </xf>
    <xf numFmtId="9" fontId="2" fillId="0" borderId="17" xfId="0" applyNumberFormat="1" applyFont="1" applyBorder="1"/>
    <xf numFmtId="0" fontId="3" fillId="0" borderId="12" xfId="0" applyFont="1" applyBorder="1" applyAlignment="1">
      <alignment horizontal="center"/>
    </xf>
    <xf numFmtId="41" fontId="2" fillId="0" borderId="1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EEF7"/>
      <color rgb="FF4E0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31AD5-52DF-403E-820E-891DA59F8E70}">
  <dimension ref="B2:R57"/>
  <sheetViews>
    <sheetView showGridLines="0" topLeftCell="A12" workbookViewId="0">
      <selection activeCell="I1" sqref="I1"/>
    </sheetView>
  </sheetViews>
  <sheetFormatPr defaultRowHeight="14" x14ac:dyDescent="0.3"/>
  <cols>
    <col min="1" max="1" width="2.08984375" style="1" customWidth="1"/>
    <col min="2" max="2" width="80.1796875" style="1" bestFit="1" customWidth="1"/>
    <col min="3" max="4" width="8.7265625" style="1"/>
    <col min="5" max="5" width="12.453125" style="1" bestFit="1" customWidth="1"/>
    <col min="6" max="6" width="16.36328125" style="1" bestFit="1" customWidth="1"/>
    <col min="7" max="7" width="11.1796875" style="1" bestFit="1" customWidth="1"/>
    <col min="8" max="8" width="2.81640625" style="1" customWidth="1"/>
    <col min="9" max="13" width="8.7265625" style="1"/>
    <col min="14" max="14" width="15.1796875" style="1" bestFit="1" customWidth="1"/>
    <col min="15" max="15" width="8.7265625" style="1"/>
    <col min="16" max="16" width="16.81640625" style="1" bestFit="1" customWidth="1"/>
    <col min="17" max="16384" width="8.7265625" style="1"/>
  </cols>
  <sheetData>
    <row r="2" spans="2:18" ht="30" x14ac:dyDescent="0.6">
      <c r="B2" s="68" t="s">
        <v>245</v>
      </c>
      <c r="C2" s="50"/>
      <c r="D2" s="50"/>
      <c r="E2" s="50"/>
      <c r="F2" s="50"/>
      <c r="G2" s="50"/>
    </row>
    <row r="3" spans="2:18" ht="19" x14ac:dyDescent="0.4">
      <c r="B3" s="70" t="s">
        <v>260</v>
      </c>
      <c r="C3" s="50"/>
      <c r="D3" s="50"/>
      <c r="E3" s="50"/>
      <c r="F3" s="50"/>
      <c r="G3" s="50"/>
    </row>
    <row r="5" spans="2:18" ht="15.5" x14ac:dyDescent="0.35">
      <c r="B5" s="110" t="s">
        <v>0</v>
      </c>
      <c r="C5" s="111"/>
      <c r="D5" s="111"/>
      <c r="E5" s="112"/>
      <c r="F5" s="111"/>
      <c r="G5" s="113"/>
    </row>
    <row r="6" spans="2:18" ht="4.5" customHeight="1" x14ac:dyDescent="0.35">
      <c r="B6" s="114"/>
      <c r="C6" s="115"/>
      <c r="D6" s="115"/>
      <c r="E6" s="116"/>
      <c r="F6" s="115"/>
      <c r="G6" s="117"/>
    </row>
    <row r="7" spans="2:18" x14ac:dyDescent="0.3">
      <c r="B7" s="58" t="s">
        <v>59</v>
      </c>
      <c r="C7" s="118"/>
      <c r="D7" s="118"/>
      <c r="E7" s="118"/>
      <c r="F7" s="118"/>
      <c r="G7" s="59">
        <v>85</v>
      </c>
      <c r="R7" s="98"/>
    </row>
    <row r="8" spans="2:18" x14ac:dyDescent="0.3">
      <c r="B8" s="58"/>
      <c r="C8" s="118"/>
      <c r="D8" s="118"/>
      <c r="E8" s="118"/>
      <c r="F8" s="118"/>
      <c r="G8" s="59"/>
      <c r="R8" s="98"/>
    </row>
    <row r="9" spans="2:18" ht="14.5" x14ac:dyDescent="0.35">
      <c r="B9" s="119" t="s">
        <v>53</v>
      </c>
      <c r="C9" s="118"/>
      <c r="D9" s="118"/>
      <c r="E9" s="120"/>
      <c r="F9" s="118"/>
      <c r="G9" s="59"/>
      <c r="R9" s="16"/>
    </row>
    <row r="10" spans="2:18" ht="14.5" x14ac:dyDescent="0.35">
      <c r="B10" s="58" t="s">
        <v>48</v>
      </c>
      <c r="C10" s="118"/>
      <c r="D10" s="120" t="s">
        <v>1</v>
      </c>
      <c r="E10" s="118"/>
      <c r="F10" s="118"/>
      <c r="G10" s="121">
        <v>1060</v>
      </c>
      <c r="R10" s="16"/>
    </row>
    <row r="11" spans="2:18" ht="14.5" x14ac:dyDescent="0.35">
      <c r="B11" s="122" t="s">
        <v>55</v>
      </c>
      <c r="C11" s="118"/>
      <c r="D11" s="120"/>
      <c r="E11" s="118"/>
      <c r="F11" s="123"/>
      <c r="G11" s="59"/>
      <c r="R11" s="16"/>
    </row>
    <row r="12" spans="2:18" ht="14.5" x14ac:dyDescent="0.35">
      <c r="B12" s="58" t="s">
        <v>64</v>
      </c>
      <c r="C12" s="118"/>
      <c r="D12" s="120"/>
      <c r="E12" s="118"/>
      <c r="F12" s="124">
        <f>Data!D23</f>
        <v>0.62920168067226889</v>
      </c>
      <c r="G12" s="59"/>
    </row>
    <row r="13" spans="2:18" ht="14.5" x14ac:dyDescent="0.35">
      <c r="B13" s="58" t="s">
        <v>65</v>
      </c>
      <c r="C13" s="118"/>
      <c r="D13" s="120"/>
      <c r="E13" s="118"/>
      <c r="F13" s="124">
        <f>Data!D24</f>
        <v>9.2436974789915971E-2</v>
      </c>
      <c r="G13" s="59"/>
    </row>
    <row r="14" spans="2:18" ht="14.5" x14ac:dyDescent="0.35">
      <c r="B14" s="58" t="s">
        <v>66</v>
      </c>
      <c r="C14" s="118"/>
      <c r="D14" s="120"/>
      <c r="E14" s="118"/>
      <c r="F14" s="124">
        <f>Data!D25</f>
        <v>6.9327731092436978E-2</v>
      </c>
      <c r="G14" s="59"/>
    </row>
    <row r="15" spans="2:18" ht="14.5" x14ac:dyDescent="0.35">
      <c r="B15" s="58" t="s">
        <v>67</v>
      </c>
      <c r="C15" s="118"/>
      <c r="D15" s="120"/>
      <c r="E15" s="118"/>
      <c r="F15" s="124">
        <v>0.03</v>
      </c>
      <c r="G15" s="59"/>
    </row>
    <row r="16" spans="2:18" ht="14.5" x14ac:dyDescent="0.35">
      <c r="B16" s="58" t="s">
        <v>68</v>
      </c>
      <c r="C16" s="118"/>
      <c r="D16" s="120"/>
      <c r="E16" s="118"/>
      <c r="F16" s="124">
        <f>100%-SUM(F12:F15)</f>
        <v>0.17903361344537816</v>
      </c>
      <c r="G16" s="59"/>
    </row>
    <row r="17" spans="2:8" ht="14.5" x14ac:dyDescent="0.35">
      <c r="B17" s="58"/>
      <c r="C17" s="118"/>
      <c r="D17" s="120"/>
      <c r="E17" s="118"/>
      <c r="F17" s="124"/>
      <c r="G17" s="59"/>
    </row>
    <row r="18" spans="2:8" ht="14.5" x14ac:dyDescent="0.35">
      <c r="B18" s="58" t="s">
        <v>56</v>
      </c>
      <c r="C18" s="118"/>
      <c r="D18" s="120"/>
      <c r="E18" s="118"/>
      <c r="F18" s="124">
        <f>6.5%+3%</f>
        <v>9.5000000000000001E-2</v>
      </c>
      <c r="G18" s="59"/>
    </row>
    <row r="19" spans="2:8" ht="14.5" x14ac:dyDescent="0.35">
      <c r="B19" s="58" t="s">
        <v>57</v>
      </c>
      <c r="C19" s="118"/>
      <c r="D19" s="120"/>
      <c r="E19" s="118"/>
      <c r="F19" s="118"/>
      <c r="G19" s="121">
        <f>G10*(1+F18)^10</f>
        <v>2626.9212702661653</v>
      </c>
    </row>
    <row r="20" spans="2:8" ht="14.5" x14ac:dyDescent="0.35">
      <c r="B20" s="122" t="s">
        <v>55</v>
      </c>
      <c r="C20" s="118"/>
      <c r="D20" s="120"/>
      <c r="E20" s="118"/>
      <c r="F20" s="123"/>
      <c r="G20" s="59"/>
    </row>
    <row r="21" spans="2:8" ht="14.5" x14ac:dyDescent="0.35">
      <c r="B21" s="58" t="s">
        <v>64</v>
      </c>
      <c r="C21" s="118"/>
      <c r="D21" s="120"/>
      <c r="E21" s="118"/>
      <c r="F21" s="125">
        <v>0.56000000000000005</v>
      </c>
      <c r="G21" s="126">
        <f>F21*$G$19</f>
        <v>1471.0759113490526</v>
      </c>
    </row>
    <row r="22" spans="2:8" ht="14.5" x14ac:dyDescent="0.35">
      <c r="B22" s="58" t="s">
        <v>65</v>
      </c>
      <c r="C22" s="118"/>
      <c r="D22" s="120"/>
      <c r="E22" s="118"/>
      <c r="F22" s="125">
        <v>0.12</v>
      </c>
      <c r="G22" s="126">
        <f>F22*$G$19</f>
        <v>315.23055243193983</v>
      </c>
    </row>
    <row r="23" spans="2:8" ht="14.5" x14ac:dyDescent="0.35">
      <c r="B23" s="58" t="s">
        <v>66</v>
      </c>
      <c r="C23" s="118"/>
      <c r="D23" s="120"/>
      <c r="E23" s="118"/>
      <c r="F23" s="125">
        <v>0.1</v>
      </c>
      <c r="G23" s="126">
        <f>F23*$G$19</f>
        <v>262.69212702661656</v>
      </c>
    </row>
    <row r="24" spans="2:8" ht="14.5" x14ac:dyDescent="0.35">
      <c r="B24" s="58" t="s">
        <v>67</v>
      </c>
      <c r="C24" s="118"/>
      <c r="D24" s="120"/>
      <c r="E24" s="118"/>
      <c r="F24" s="125">
        <v>0.04</v>
      </c>
      <c r="G24" s="126">
        <f>F24*$G$19</f>
        <v>105.07685081064662</v>
      </c>
    </row>
    <row r="25" spans="2:8" ht="14.5" x14ac:dyDescent="0.35">
      <c r="B25" s="58" t="s">
        <v>68</v>
      </c>
      <c r="C25" s="118"/>
      <c r="D25" s="120"/>
      <c r="E25" s="118"/>
      <c r="F25" s="125">
        <v>0.18</v>
      </c>
      <c r="G25" s="126">
        <f>F25*$G$19</f>
        <v>472.84582864790974</v>
      </c>
    </row>
    <row r="26" spans="2:8" ht="14.5" x14ac:dyDescent="0.35">
      <c r="B26" s="58"/>
      <c r="C26" s="118"/>
      <c r="D26" s="120"/>
      <c r="E26" s="118"/>
      <c r="F26" s="123"/>
      <c r="G26" s="59"/>
    </row>
    <row r="27" spans="2:8" ht="14.5" x14ac:dyDescent="0.35">
      <c r="B27" s="58"/>
      <c r="C27" s="118"/>
      <c r="D27" s="120"/>
      <c r="E27" s="118"/>
      <c r="F27" s="123"/>
      <c r="G27" s="59"/>
    </row>
    <row r="28" spans="2:8" ht="14.5" x14ac:dyDescent="0.35">
      <c r="B28" s="119" t="s">
        <v>58</v>
      </c>
      <c r="C28" s="118"/>
      <c r="D28" s="120"/>
      <c r="E28" s="118"/>
      <c r="F28" s="123"/>
      <c r="G28" s="59"/>
    </row>
    <row r="29" spans="2:8" ht="14.5" x14ac:dyDescent="0.35">
      <c r="B29" s="58" t="s">
        <v>81</v>
      </c>
      <c r="C29" s="118"/>
      <c r="D29" s="120"/>
      <c r="E29" s="118"/>
      <c r="F29" s="127"/>
      <c r="G29" s="59"/>
    </row>
    <row r="30" spans="2:8" ht="14.5" x14ac:dyDescent="0.35">
      <c r="B30" s="58" t="s">
        <v>63</v>
      </c>
      <c r="C30" s="118"/>
      <c r="D30" s="120"/>
      <c r="E30" s="118"/>
      <c r="F30" s="127">
        <f>14/(F12*G10)</f>
        <v>2.099095977572684E-2</v>
      </c>
      <c r="G30" s="59"/>
      <c r="H30" s="29"/>
    </row>
    <row r="31" spans="2:8" ht="14.5" x14ac:dyDescent="0.35">
      <c r="B31" s="58" t="s">
        <v>62</v>
      </c>
      <c r="C31" s="118"/>
      <c r="D31" s="120"/>
      <c r="E31" s="118"/>
      <c r="F31" s="127">
        <f>22.5/(F13*G10)</f>
        <v>0.229631217838765</v>
      </c>
      <c r="G31" s="59"/>
      <c r="H31" s="29"/>
    </row>
    <row r="32" spans="2:8" ht="14.5" x14ac:dyDescent="0.35">
      <c r="B32" s="58" t="s">
        <v>60</v>
      </c>
      <c r="C32" s="118"/>
      <c r="D32" s="120"/>
      <c r="E32" s="118"/>
      <c r="F32" s="127">
        <f>13/(F14*G10)</f>
        <v>0.17690108633504859</v>
      </c>
      <c r="G32" s="59"/>
    </row>
    <row r="33" spans="2:7" ht="14.5" x14ac:dyDescent="0.35">
      <c r="B33" s="58" t="s">
        <v>61</v>
      </c>
      <c r="C33" s="118"/>
      <c r="D33" s="120"/>
      <c r="E33" s="118"/>
      <c r="F33" s="127">
        <f>1.25/(G10*F15)</f>
        <v>3.9308176100628936E-2</v>
      </c>
      <c r="G33" s="59"/>
    </row>
    <row r="34" spans="2:7" ht="14.5" x14ac:dyDescent="0.35">
      <c r="B34" s="58"/>
      <c r="C34" s="118"/>
      <c r="D34" s="120"/>
      <c r="E34" s="118"/>
      <c r="F34" s="127"/>
      <c r="G34" s="59"/>
    </row>
    <row r="35" spans="2:7" ht="14.5" x14ac:dyDescent="0.35">
      <c r="B35" s="58" t="s">
        <v>82</v>
      </c>
      <c r="C35" s="118"/>
      <c r="D35" s="120"/>
      <c r="E35" s="118"/>
      <c r="F35" s="127"/>
      <c r="G35" s="59"/>
    </row>
    <row r="36" spans="2:7" ht="14.5" x14ac:dyDescent="0.35">
      <c r="B36" s="58" t="s">
        <v>63</v>
      </c>
      <c r="C36" s="118"/>
      <c r="D36" s="120"/>
      <c r="E36" s="118"/>
      <c r="F36" s="127">
        <f>Data!I19</f>
        <v>8.0777341938764721E-2</v>
      </c>
      <c r="G36" s="126">
        <f>F36*G21</f>
        <v>118.82960190892236</v>
      </c>
    </row>
    <row r="37" spans="2:7" ht="14.5" x14ac:dyDescent="0.35">
      <c r="B37" s="58" t="s">
        <v>62</v>
      </c>
      <c r="C37" s="118"/>
      <c r="D37" s="120"/>
      <c r="E37" s="118"/>
      <c r="F37" s="127">
        <f>Data!I20</f>
        <v>0.34085236771848704</v>
      </c>
      <c r="G37" s="126">
        <f>F37*G22</f>
        <v>107.44708017363337</v>
      </c>
    </row>
    <row r="38" spans="2:7" ht="14.5" x14ac:dyDescent="0.35">
      <c r="B38" s="58" t="s">
        <v>60</v>
      </c>
      <c r="C38" s="118"/>
      <c r="D38" s="120"/>
      <c r="E38" s="118"/>
      <c r="F38" s="127">
        <f>Data!I22</f>
        <v>0.30536636779163084</v>
      </c>
      <c r="G38" s="126">
        <f>F38*G23</f>
        <v>80.217340677575606</v>
      </c>
    </row>
    <row r="39" spans="2:7" ht="14.5" x14ac:dyDescent="0.35">
      <c r="B39" s="58" t="s">
        <v>61</v>
      </c>
      <c r="C39" s="118"/>
      <c r="D39" s="120"/>
      <c r="E39" s="118"/>
      <c r="F39" s="127">
        <f>Data!I21</f>
        <v>0.1540839470508229</v>
      </c>
      <c r="G39" s="126">
        <f>F39*G24</f>
        <v>16.19065591657489</v>
      </c>
    </row>
    <row r="40" spans="2:7" ht="14.5" x14ac:dyDescent="0.35">
      <c r="B40" s="58"/>
      <c r="C40" s="118"/>
      <c r="D40" s="120"/>
      <c r="E40" s="118"/>
      <c r="F40" s="127"/>
      <c r="G40" s="59"/>
    </row>
    <row r="41" spans="2:7" ht="14.5" x14ac:dyDescent="0.35">
      <c r="B41" s="58"/>
      <c r="C41" s="118"/>
      <c r="D41" s="120"/>
      <c r="E41" s="118"/>
      <c r="F41" s="124"/>
      <c r="G41" s="59"/>
    </row>
    <row r="42" spans="2:7" ht="14.5" x14ac:dyDescent="0.35">
      <c r="B42" s="119" t="s">
        <v>54</v>
      </c>
      <c r="C42" s="118"/>
      <c r="D42" s="120"/>
      <c r="E42" s="118"/>
      <c r="F42" s="118"/>
      <c r="G42" s="59"/>
    </row>
    <row r="43" spans="2:7" ht="14.5" x14ac:dyDescent="0.35">
      <c r="B43" s="58" t="s">
        <v>84</v>
      </c>
      <c r="C43" s="118"/>
      <c r="D43" s="120" t="s">
        <v>1</v>
      </c>
      <c r="E43" s="118"/>
      <c r="F43" s="118"/>
      <c r="G43" s="126">
        <f>14+22.5*2.5%+13*5%+1.25*2.5%</f>
        <v>15.24375</v>
      </c>
    </row>
    <row r="44" spans="2:7" ht="14.5" x14ac:dyDescent="0.35">
      <c r="B44" s="58" t="s">
        <v>83</v>
      </c>
      <c r="C44" s="118"/>
      <c r="D44" s="120" t="s">
        <v>1</v>
      </c>
      <c r="E44" s="118"/>
      <c r="F44" s="118"/>
      <c r="G44" s="126">
        <f>G36+20%*G37+7.5%*G38+5%*G39</f>
        <v>147.14485129029595</v>
      </c>
    </row>
    <row r="45" spans="2:7" ht="14.5" x14ac:dyDescent="0.35">
      <c r="B45" s="58"/>
      <c r="C45" s="118"/>
      <c r="D45" s="118"/>
      <c r="E45" s="120"/>
      <c r="F45" s="124"/>
      <c r="G45" s="59"/>
    </row>
    <row r="46" spans="2:7" ht="14.5" x14ac:dyDescent="0.35">
      <c r="B46" s="58" t="s">
        <v>105</v>
      </c>
      <c r="C46" s="118"/>
      <c r="D46" s="118"/>
      <c r="E46" s="120"/>
      <c r="F46" s="127">
        <f>Data!K45/(G43*1000*85)</f>
        <v>0.19151948677133832</v>
      </c>
      <c r="G46" s="59"/>
    </row>
    <row r="47" spans="2:7" x14ac:dyDescent="0.3">
      <c r="B47" s="58" t="s">
        <v>106</v>
      </c>
      <c r="C47" s="118"/>
      <c r="D47" s="118"/>
      <c r="E47" s="128" t="s">
        <v>109</v>
      </c>
      <c r="F47" s="128" t="s">
        <v>108</v>
      </c>
      <c r="G47" s="129" t="s">
        <v>107</v>
      </c>
    </row>
    <row r="48" spans="2:7" x14ac:dyDescent="0.3">
      <c r="B48" s="119"/>
      <c r="C48" s="118"/>
      <c r="D48" s="118"/>
      <c r="E48" s="130">
        <v>0.1</v>
      </c>
      <c r="F48" s="125">
        <v>0.15</v>
      </c>
      <c r="G48" s="131">
        <v>0.2</v>
      </c>
    </row>
    <row r="49" spans="2:7" ht="14.5" x14ac:dyDescent="0.35">
      <c r="B49" s="58" t="s">
        <v>87</v>
      </c>
      <c r="C49" s="118"/>
      <c r="D49" s="118"/>
      <c r="E49" s="120"/>
      <c r="F49" s="123"/>
      <c r="G49" s="59"/>
    </row>
    <row r="50" spans="2:7" ht="14.5" x14ac:dyDescent="0.35">
      <c r="B50" s="58" t="s">
        <v>88</v>
      </c>
      <c r="C50" s="118"/>
      <c r="D50" s="118"/>
      <c r="E50" s="120"/>
      <c r="F50" s="125">
        <v>0.05</v>
      </c>
      <c r="G50" s="59"/>
    </row>
    <row r="51" spans="2:7" ht="14.5" x14ac:dyDescent="0.35">
      <c r="B51" s="58" t="s">
        <v>89</v>
      </c>
      <c r="C51" s="118"/>
      <c r="D51" s="118"/>
      <c r="E51" s="120"/>
      <c r="F51" s="125">
        <v>0.19</v>
      </c>
      <c r="G51" s="59"/>
    </row>
    <row r="52" spans="2:7" ht="14.5" x14ac:dyDescent="0.35">
      <c r="B52" s="58" t="s">
        <v>88</v>
      </c>
      <c r="C52" s="118"/>
      <c r="D52" s="120" t="s">
        <v>92</v>
      </c>
      <c r="E52" s="120"/>
      <c r="F52" s="123">
        <f>12000*F50</f>
        <v>600</v>
      </c>
      <c r="G52" s="59"/>
    </row>
    <row r="53" spans="2:7" ht="14.5" x14ac:dyDescent="0.35">
      <c r="B53" s="58"/>
      <c r="C53" s="118"/>
      <c r="D53" s="118"/>
      <c r="E53" s="120"/>
      <c r="F53" s="123"/>
      <c r="G53" s="59"/>
    </row>
    <row r="54" spans="2:7" ht="14.5" x14ac:dyDescent="0.35">
      <c r="B54" s="58" t="s">
        <v>90</v>
      </c>
      <c r="C54" s="118"/>
      <c r="D54" s="118"/>
      <c r="E54" s="120"/>
      <c r="F54" s="125">
        <v>0.4</v>
      </c>
      <c r="G54" s="59"/>
    </row>
    <row r="55" spans="2:7" ht="14.5" x14ac:dyDescent="0.35">
      <c r="B55" s="58" t="s">
        <v>91</v>
      </c>
      <c r="C55" s="118"/>
      <c r="D55" s="118"/>
      <c r="E55" s="120"/>
      <c r="F55" s="125">
        <f>F54/3</f>
        <v>0.13333333333333333</v>
      </c>
      <c r="G55" s="59"/>
    </row>
    <row r="56" spans="2:7" ht="14.5" x14ac:dyDescent="0.35">
      <c r="B56" s="58"/>
      <c r="C56" s="118"/>
      <c r="D56" s="118"/>
      <c r="E56" s="120"/>
      <c r="F56" s="123"/>
      <c r="G56" s="59"/>
    </row>
    <row r="57" spans="2:7" ht="14.5" x14ac:dyDescent="0.35">
      <c r="B57" s="42" t="s">
        <v>91</v>
      </c>
      <c r="C57" s="43"/>
      <c r="D57" s="132" t="s">
        <v>92</v>
      </c>
      <c r="E57" s="43"/>
      <c r="F57" s="43"/>
      <c r="G57" s="133">
        <f>F55*Data!L25*Data!J29*Data!H32</f>
        <v>3925.7122041539278</v>
      </c>
    </row>
  </sheetData>
  <mergeCells count="1">
    <mergeCell ref="R7:R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CDE68-7DF7-4D37-8383-82A2C7754A4C}">
  <dimension ref="B2:Q50"/>
  <sheetViews>
    <sheetView showGridLines="0" tabSelected="1" topLeftCell="A10" workbookViewId="0">
      <selection activeCell="B4" sqref="B4"/>
    </sheetView>
  </sheetViews>
  <sheetFormatPr defaultRowHeight="14.5" x14ac:dyDescent="0.35"/>
  <cols>
    <col min="1" max="1" width="2.1796875" customWidth="1"/>
    <col min="2" max="2" width="32.36328125" bestFit="1" customWidth="1"/>
    <col min="6" max="6" width="9.90625" bestFit="1" customWidth="1"/>
    <col min="7" max="7" width="10.6328125" bestFit="1" customWidth="1"/>
    <col min="8" max="8" width="10" bestFit="1" customWidth="1"/>
    <col min="9" max="9" width="9.90625" bestFit="1" customWidth="1"/>
    <col min="10" max="10" width="10.453125" customWidth="1"/>
    <col min="11" max="11" width="10" bestFit="1" customWidth="1"/>
    <col min="12" max="14" width="10.6328125" bestFit="1" customWidth="1"/>
    <col min="15" max="16" width="10.08984375" bestFit="1" customWidth="1"/>
    <col min="17" max="17" width="1.7265625" customWidth="1"/>
  </cols>
  <sheetData>
    <row r="2" spans="2:16" ht="30" x14ac:dyDescent="0.6">
      <c r="B2" s="68" t="s">
        <v>245</v>
      </c>
      <c r="C2" s="50"/>
      <c r="D2" s="50"/>
      <c r="E2" s="69"/>
      <c r="F2" s="69"/>
      <c r="G2" s="69"/>
      <c r="H2" s="69"/>
      <c r="I2" s="69"/>
      <c r="J2" s="69"/>
      <c r="K2" s="69"/>
      <c r="L2" s="69"/>
      <c r="M2" s="69"/>
      <c r="N2" s="69"/>
      <c r="O2" s="50"/>
      <c r="P2" s="50"/>
    </row>
    <row r="3" spans="2:16" ht="19" x14ac:dyDescent="0.4">
      <c r="B3" s="70" t="s">
        <v>186</v>
      </c>
      <c r="C3" s="50"/>
      <c r="D3" s="50"/>
      <c r="E3" s="69"/>
      <c r="F3" s="69"/>
      <c r="G3" s="69"/>
      <c r="H3" s="69"/>
      <c r="I3" s="69"/>
      <c r="J3" s="69"/>
      <c r="K3" s="69"/>
      <c r="L3" s="69"/>
      <c r="M3" s="69"/>
      <c r="N3" s="69"/>
      <c r="O3" s="50"/>
      <c r="P3" s="50"/>
    </row>
    <row r="4" spans="2:16" ht="15" thickBot="1" x14ac:dyDescent="0.4">
      <c r="B4" s="71" t="s">
        <v>102</v>
      </c>
      <c r="C4" s="1"/>
      <c r="D4" s="1"/>
      <c r="E4" s="14"/>
      <c r="F4" s="14"/>
      <c r="G4" s="14"/>
      <c r="H4" s="14"/>
      <c r="I4" s="14"/>
      <c r="J4" s="14"/>
      <c r="K4" s="14"/>
      <c r="L4" s="14"/>
      <c r="M4" s="14"/>
      <c r="N4" s="14"/>
      <c r="O4" s="1"/>
      <c r="P4" s="1"/>
    </row>
    <row r="5" spans="2:16" x14ac:dyDescent="0.35">
      <c r="B5" s="24" t="s">
        <v>10</v>
      </c>
      <c r="C5" s="24"/>
      <c r="D5" s="24"/>
      <c r="E5" s="72"/>
      <c r="F5" s="72"/>
      <c r="G5" s="72">
        <v>46112</v>
      </c>
      <c r="H5" s="72">
        <f t="shared" ref="H5:P5" si="0">EOMONTH(G5,12)</f>
        <v>46477</v>
      </c>
      <c r="I5" s="72">
        <f t="shared" si="0"/>
        <v>46843</v>
      </c>
      <c r="J5" s="72">
        <f t="shared" si="0"/>
        <v>47208</v>
      </c>
      <c r="K5" s="72">
        <f t="shared" si="0"/>
        <v>47573</v>
      </c>
      <c r="L5" s="72">
        <f t="shared" si="0"/>
        <v>47938</v>
      </c>
      <c r="M5" s="72">
        <f t="shared" si="0"/>
        <v>48304</v>
      </c>
      <c r="N5" s="72">
        <f t="shared" si="0"/>
        <v>48669</v>
      </c>
      <c r="O5" s="72">
        <f t="shared" si="0"/>
        <v>49034</v>
      </c>
      <c r="P5" s="72">
        <f t="shared" si="0"/>
        <v>49399</v>
      </c>
    </row>
    <row r="6" spans="2:16" ht="15" thickBot="1" x14ac:dyDescent="0.4">
      <c r="B6" s="23"/>
      <c r="C6" s="23"/>
      <c r="D6" s="23"/>
      <c r="E6" s="73"/>
      <c r="F6" s="26"/>
      <c r="G6" s="26">
        <f t="shared" ref="G6:P6" si="1">YEAR(G5)</f>
        <v>2026</v>
      </c>
      <c r="H6" s="27">
        <f t="shared" si="1"/>
        <v>2027</v>
      </c>
      <c r="I6" s="27">
        <f t="shared" si="1"/>
        <v>2028</v>
      </c>
      <c r="J6" s="27">
        <f t="shared" si="1"/>
        <v>2029</v>
      </c>
      <c r="K6" s="27">
        <f t="shared" si="1"/>
        <v>2030</v>
      </c>
      <c r="L6" s="27">
        <f t="shared" si="1"/>
        <v>2031</v>
      </c>
      <c r="M6" s="27">
        <f t="shared" si="1"/>
        <v>2032</v>
      </c>
      <c r="N6" s="27">
        <f t="shared" si="1"/>
        <v>2033</v>
      </c>
      <c r="O6" s="27">
        <f t="shared" si="1"/>
        <v>2034</v>
      </c>
      <c r="P6" s="27">
        <f t="shared" si="1"/>
        <v>2035</v>
      </c>
    </row>
    <row r="7" spans="2:16" x14ac:dyDescent="0.35">
      <c r="B7" s="1"/>
      <c r="C7" s="1"/>
      <c r="D7" s="1"/>
      <c r="E7" s="74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x14ac:dyDescent="0.35">
      <c r="B8" s="13" t="s">
        <v>187</v>
      </c>
      <c r="C8" s="13"/>
      <c r="D8" s="13"/>
      <c r="E8" s="1"/>
      <c r="F8" s="75"/>
      <c r="G8" s="25"/>
      <c r="H8" s="25">
        <f t="shared" ref="H8:P8" si="2">AVERAGE(G5:H5)+1</f>
        <v>46295.5</v>
      </c>
      <c r="I8" s="25">
        <f t="shared" si="2"/>
        <v>46661</v>
      </c>
      <c r="J8" s="25">
        <f t="shared" si="2"/>
        <v>47026.5</v>
      </c>
      <c r="K8" s="25">
        <f t="shared" si="2"/>
        <v>47391.5</v>
      </c>
      <c r="L8" s="25">
        <f t="shared" si="2"/>
        <v>47756.5</v>
      </c>
      <c r="M8" s="25">
        <f t="shared" si="2"/>
        <v>48122</v>
      </c>
      <c r="N8" s="25">
        <f t="shared" si="2"/>
        <v>48487.5</v>
      </c>
      <c r="O8" s="25">
        <f t="shared" si="2"/>
        <v>48852.5</v>
      </c>
      <c r="P8" s="25">
        <f t="shared" si="2"/>
        <v>49217.5</v>
      </c>
    </row>
    <row r="9" spans="2:16" x14ac:dyDescent="0.35">
      <c r="B9" s="1" t="s">
        <v>188</v>
      </c>
      <c r="C9" s="1"/>
      <c r="D9" s="1"/>
      <c r="E9" s="1"/>
      <c r="F9" s="1"/>
      <c r="G9" s="14"/>
      <c r="H9" s="14">
        <f>'Income Statement'!F20</f>
        <v>-56822.020342162039</v>
      </c>
      <c r="I9" s="14">
        <f>'Income Statement'!G20</f>
        <v>-42564.471079217852</v>
      </c>
      <c r="J9" s="14">
        <f>'Income Statement'!H20</f>
        <v>-23118.093862798883</v>
      </c>
      <c r="K9" s="14">
        <f>'Income Statement'!I20</f>
        <v>-7723.4271412578128</v>
      </c>
      <c r="L9" s="14">
        <f>'Income Statement'!J20</f>
        <v>7081.9520077746747</v>
      </c>
      <c r="M9" s="14">
        <f>'Income Statement'!K20</f>
        <v>22935.79800910176</v>
      </c>
      <c r="N9" s="14">
        <f>'Income Statement'!L20</f>
        <v>42251.725659990785</v>
      </c>
      <c r="O9" s="14">
        <f>'Income Statement'!M20</f>
        <v>64237.37006844498</v>
      </c>
      <c r="P9" s="14">
        <f>'Income Statement'!N20</f>
        <v>90330.541115239903</v>
      </c>
    </row>
    <row r="10" spans="2:16" x14ac:dyDescent="0.35">
      <c r="B10" s="1" t="s">
        <v>189</v>
      </c>
      <c r="C10" s="1"/>
      <c r="D10" s="1"/>
      <c r="E10" s="1"/>
      <c r="F10" s="1"/>
      <c r="G10" s="14"/>
      <c r="H10" s="14">
        <f>'Rough Sheet'!J127</f>
        <v>0</v>
      </c>
      <c r="I10" s="14">
        <f>'Rough Sheet'!K127</f>
        <v>0</v>
      </c>
      <c r="J10" s="14">
        <f>'Rough Sheet'!L127</f>
        <v>0</v>
      </c>
      <c r="K10" s="14">
        <f>'Rough Sheet'!M127</f>
        <v>0</v>
      </c>
      <c r="L10" s="14">
        <f>'Rough Sheet'!N127</f>
        <v>0</v>
      </c>
      <c r="M10" s="14">
        <f>'Rough Sheet'!O127</f>
        <v>1131.031441765499</v>
      </c>
      <c r="N10" s="14">
        <f>'Rough Sheet'!P127</f>
        <v>2739.7719198243135</v>
      </c>
      <c r="O10" s="14">
        <f>'Rough Sheet'!Q127</f>
        <v>4603.9569795785901</v>
      </c>
      <c r="P10" s="14">
        <f>'Rough Sheet'!R127</f>
        <v>6855.7055866038336</v>
      </c>
    </row>
    <row r="11" spans="2:16" x14ac:dyDescent="0.35">
      <c r="B11" s="1" t="s">
        <v>190</v>
      </c>
      <c r="C11" s="1"/>
      <c r="D11" s="1"/>
      <c r="E11" s="1"/>
      <c r="F11" s="1"/>
      <c r="G11" s="14"/>
      <c r="H11" s="14">
        <f>H9-H10</f>
        <v>-56822.020342162039</v>
      </c>
      <c r="I11" s="14">
        <f t="shared" ref="I11:P11" si="3">I9-I10</f>
        <v>-42564.471079217852</v>
      </c>
      <c r="J11" s="14">
        <f t="shared" si="3"/>
        <v>-23118.093862798883</v>
      </c>
      <c r="K11" s="14">
        <f t="shared" si="3"/>
        <v>-7723.4271412578128</v>
      </c>
      <c r="L11" s="14">
        <f t="shared" si="3"/>
        <v>7081.9520077746747</v>
      </c>
      <c r="M11" s="14">
        <f t="shared" si="3"/>
        <v>21804.766567336261</v>
      </c>
      <c r="N11" s="14">
        <f t="shared" si="3"/>
        <v>39511.953740166471</v>
      </c>
      <c r="O11" s="14">
        <f t="shared" si="3"/>
        <v>59633.413088866393</v>
      </c>
      <c r="P11" s="14">
        <f t="shared" si="3"/>
        <v>83474.835528636075</v>
      </c>
    </row>
    <row r="12" spans="2:16" x14ac:dyDescent="0.35">
      <c r="B12" s="1" t="s">
        <v>191</v>
      </c>
      <c r="C12" s="1"/>
      <c r="D12" s="1"/>
      <c r="E12" s="1"/>
      <c r="F12" s="1"/>
      <c r="G12" s="14"/>
      <c r="H12" s="14">
        <f>'Rough Sheet'!J76</f>
        <v>3633.4044267564414</v>
      </c>
      <c r="I12" s="14">
        <f>'Rough Sheet'!K76</f>
        <v>4837.8169448542631</v>
      </c>
      <c r="J12" s="14">
        <f>'Rough Sheet'!L76</f>
        <v>5995.293854764248</v>
      </c>
      <c r="K12" s="14">
        <f>'Rough Sheet'!M76</f>
        <v>7151.1599499309768</v>
      </c>
      <c r="L12" s="14">
        <f>'Rough Sheet'!N76</f>
        <v>6261.2623911913724</v>
      </c>
      <c r="M12" s="14">
        <f>'Rough Sheet'!O76</f>
        <v>7768.036631670414</v>
      </c>
      <c r="N12" s="14">
        <f>'Rough Sheet'!P76</f>
        <v>9469.6434011307429</v>
      </c>
      <c r="O12" s="14">
        <f>'Rough Sheet'!Q76</f>
        <v>11081.55601345574</v>
      </c>
      <c r="P12" s="14">
        <f>'Rough Sheet'!R76</f>
        <v>12966.741465856727</v>
      </c>
    </row>
    <row r="13" spans="2:16" x14ac:dyDescent="0.35">
      <c r="B13" s="1" t="s">
        <v>192</v>
      </c>
      <c r="C13" s="1"/>
      <c r="D13" s="1"/>
      <c r="E13" s="1"/>
      <c r="F13" s="1"/>
      <c r="G13" s="14"/>
      <c r="H13" s="14">
        <f>-'Rough Sheet'!J93</f>
        <v>-12505.350609827583</v>
      </c>
      <c r="I13" s="14">
        <f>-'Rough Sheet'!K93</f>
        <v>-11596.856549406208</v>
      </c>
      <c r="J13" s="14">
        <f>-'Rough Sheet'!L93</f>
        <v>-8637.0154989435305</v>
      </c>
      <c r="K13" s="14">
        <f>-'Rough Sheet'!M93</f>
        <v>-3095.7198457880922</v>
      </c>
      <c r="L13" s="14">
        <f>-'Rough Sheet'!N93</f>
        <v>5718.3496323527761</v>
      </c>
      <c r="M13" s="14">
        <f>-'Rough Sheet'!O93</f>
        <v>18727.335395317681</v>
      </c>
      <c r="N13" s="14">
        <f>-'Rough Sheet'!P93</f>
        <v>36573.236948536534</v>
      </c>
      <c r="O13" s="14">
        <f>-'Rough Sheet'!Q93</f>
        <v>58960.208882625768</v>
      </c>
      <c r="P13" s="14">
        <f>-'Rough Sheet'!R93</f>
        <v>86769.479495246414</v>
      </c>
    </row>
    <row r="14" spans="2:16" x14ac:dyDescent="0.35">
      <c r="B14" s="1" t="s">
        <v>193</v>
      </c>
      <c r="C14" s="1"/>
      <c r="D14" s="1"/>
      <c r="E14" s="1"/>
      <c r="F14" s="1"/>
      <c r="G14" s="14"/>
      <c r="H14" s="14">
        <f>-'Rough Sheet'!J60</f>
        <v>-9496.350828103059</v>
      </c>
      <c r="I14" s="14">
        <f>-'Rough Sheet'!K60</f>
        <v>-9774.2494614620864</v>
      </c>
      <c r="J14" s="14">
        <f>-'Rough Sheet'!L60</f>
        <v>-8745.3810970976574</v>
      </c>
      <c r="K14" s="14">
        <f>-'Rough Sheet'!M60</f>
        <v>-9748.476425570012</v>
      </c>
      <c r="L14" s="14">
        <f>-'Rough Sheet'!N60</f>
        <v>-11271.282634596322</v>
      </c>
      <c r="M14" s="14">
        <f>-'Rough Sheet'!O60</f>
        <v>-12837.105213068357</v>
      </c>
      <c r="N14" s="14">
        <f>-'Rough Sheet'!P60</f>
        <v>-14388.603098296917</v>
      </c>
      <c r="O14" s="14">
        <f>-'Rough Sheet'!Q60</f>
        <v>-18091.998698903051</v>
      </c>
      <c r="P14" s="14">
        <f>-'Rough Sheet'!R60</f>
        <v>-18760.968539512734</v>
      </c>
    </row>
    <row r="15" spans="2:16" x14ac:dyDescent="0.35">
      <c r="B15" s="13" t="s">
        <v>194</v>
      </c>
      <c r="C15" s="13"/>
      <c r="D15" s="13"/>
      <c r="E15" s="1"/>
      <c r="F15" s="1"/>
      <c r="G15" s="31"/>
      <c r="H15" s="31">
        <f>H11+H12+H13+H14</f>
        <v>-75190.317353336228</v>
      </c>
      <c r="I15" s="31">
        <f t="shared" ref="I15:P15" si="4">I11+I12+I13+I14</f>
        <v>-59097.760145231885</v>
      </c>
      <c r="J15" s="31">
        <f t="shared" si="4"/>
        <v>-34505.19660407582</v>
      </c>
      <c r="K15" s="31">
        <f t="shared" si="4"/>
        <v>-13416.46346268494</v>
      </c>
      <c r="L15" s="31">
        <f t="shared" si="4"/>
        <v>7790.2813967225011</v>
      </c>
      <c r="M15" s="31">
        <f t="shared" si="4"/>
        <v>35463.033381255998</v>
      </c>
      <c r="N15" s="31">
        <f t="shared" si="4"/>
        <v>71166.230991536839</v>
      </c>
      <c r="O15" s="31">
        <f t="shared" si="4"/>
        <v>111583.17928604485</v>
      </c>
      <c r="P15" s="31">
        <f t="shared" si="4"/>
        <v>164450.08795022647</v>
      </c>
    </row>
    <row r="16" spans="2:16" x14ac:dyDescent="0.35">
      <c r="B16" s="1" t="s">
        <v>195</v>
      </c>
      <c r="C16" s="1"/>
      <c r="D16" s="1"/>
      <c r="E16" s="1"/>
      <c r="F16" s="1"/>
      <c r="G16" s="32"/>
      <c r="H16" s="32">
        <f>H50</f>
        <v>0.13672612264012052</v>
      </c>
      <c r="I16" s="32">
        <f t="shared" ref="I16:P16" si="5">I50</f>
        <v>0.13431035731010546</v>
      </c>
      <c r="J16" s="32">
        <f t="shared" si="5"/>
        <v>0.13189459198009038</v>
      </c>
      <c r="K16" s="32">
        <f t="shared" si="5"/>
        <v>0.12947882665007532</v>
      </c>
      <c r="L16" s="32">
        <f t="shared" si="5"/>
        <v>0.12706306132006029</v>
      </c>
      <c r="M16" s="32">
        <f t="shared" si="5"/>
        <v>0.12464729599004523</v>
      </c>
      <c r="N16" s="32">
        <f t="shared" si="5"/>
        <v>0.12223153066003016</v>
      </c>
      <c r="O16" s="32">
        <f t="shared" si="5"/>
        <v>0.11981576533001509</v>
      </c>
      <c r="P16" s="32">
        <f t="shared" si="5"/>
        <v>0.1174</v>
      </c>
    </row>
    <row r="17" spans="2:16" x14ac:dyDescent="0.35">
      <c r="B17" s="1" t="s">
        <v>196</v>
      </c>
      <c r="C17" s="1"/>
      <c r="D17" s="1"/>
      <c r="E17" s="1"/>
      <c r="F17" s="1"/>
      <c r="G17" s="18"/>
      <c r="H17" s="18">
        <f>1/(1+H$16)^H38</f>
        <v>0.93793356915180104</v>
      </c>
      <c r="I17" s="18">
        <f>1/(1+I$16)^I38</f>
        <v>0.82746592869084434</v>
      </c>
      <c r="J17" s="18">
        <f>1/(1+J$16)^J38</f>
        <v>0.73364343846816871</v>
      </c>
      <c r="K17" s="18">
        <f>1/(1+K$16)^K38</f>
        <v>0.6530202833330353</v>
      </c>
      <c r="L17" s="18">
        <f>1/(1+L$16)^L38</f>
        <v>0.58375824356793249</v>
      </c>
      <c r="M17" s="18">
        <f>1/(1+M$16)^M38</f>
        <v>0.52392412795425947</v>
      </c>
      <c r="N17" s="18">
        <f>1/(1+N$16)^N38</f>
        <v>0.47256762655437135</v>
      </c>
      <c r="O17" s="18">
        <f>1/(1+O$16)^O38</f>
        <v>0.42795752712516477</v>
      </c>
      <c r="P17" s="18">
        <f>1/(1+P$16)^P38</f>
        <v>0.38924794667401874</v>
      </c>
    </row>
    <row r="18" spans="2:16" x14ac:dyDescent="0.35">
      <c r="B18" s="1" t="s">
        <v>197</v>
      </c>
      <c r="C18" s="1"/>
      <c r="D18" s="1"/>
      <c r="E18" s="1"/>
      <c r="F18" s="1"/>
      <c r="G18" s="18"/>
      <c r="H18" s="18">
        <f>1/(1+H$16)^H39</f>
        <v>0.87971938014183637</v>
      </c>
      <c r="I18" s="18">
        <f>1/(1+I$16)^I39</f>
        <v>0.77720610754673358</v>
      </c>
      <c r="J18" s="18">
        <f>1/(1+J$16)^J39</f>
        <v>0.68957585281862821</v>
      </c>
      <c r="K18" s="18">
        <f>1/(1+K$16)^K39</f>
        <v>0.61445152158915683</v>
      </c>
      <c r="L18" s="18">
        <f>1/(1+L$16)^L39</f>
        <v>0.54986859767583263</v>
      </c>
      <c r="M18" s="18">
        <f>1/(1+M$16)^M39</f>
        <v>0.49419908794407669</v>
      </c>
      <c r="N18" s="18">
        <f>1/(1+N$16)^N39</f>
        <v>0.44609025236598504</v>
      </c>
      <c r="O18" s="18">
        <f>1/(1+O$16)^O39</f>
        <v>0.40441511657451179</v>
      </c>
      <c r="P18" s="18">
        <f>1/(1+P$16)^P39</f>
        <v>0.36823239853215672</v>
      </c>
    </row>
    <row r="19" spans="2:16" x14ac:dyDescent="0.35">
      <c r="B19" s="13" t="s">
        <v>198</v>
      </c>
      <c r="C19" s="13"/>
      <c r="D19" s="13"/>
      <c r="E19" s="13"/>
      <c r="F19" s="13"/>
      <c r="G19" s="76"/>
      <c r="H19" s="76">
        <f>H17*H15</f>
        <v>-70523.522720871246</v>
      </c>
      <c r="I19" s="76">
        <f t="shared" ref="I19:P19" si="6">I17*I15</f>
        <v>-48901.382982123068</v>
      </c>
      <c r="J19" s="76">
        <f t="shared" si="6"/>
        <v>-25314.511081634362</v>
      </c>
      <c r="K19" s="76">
        <f t="shared" si="6"/>
        <v>-8761.2227717298356</v>
      </c>
      <c r="L19" s="76">
        <f t="shared" si="6"/>
        <v>4547.640985050667</v>
      </c>
      <c r="M19" s="76">
        <f t="shared" si="6"/>
        <v>18579.938838887341</v>
      </c>
      <c r="N19" s="76">
        <f t="shared" si="6"/>
        <v>33630.856870490708</v>
      </c>
      <c r="O19" s="76">
        <f t="shared" si="6"/>
        <v>47752.861476019665</v>
      </c>
      <c r="P19" s="76">
        <f t="shared" si="6"/>
        <v>64011.859064987446</v>
      </c>
    </row>
    <row r="20" spans="2:16" x14ac:dyDescent="0.35">
      <c r="B20" s="1" t="s">
        <v>164</v>
      </c>
      <c r="C20" s="1"/>
      <c r="D20" s="1"/>
      <c r="E20" s="1"/>
      <c r="F20" s="109" t="s">
        <v>199</v>
      </c>
      <c r="G20" s="109"/>
      <c r="H20" s="50"/>
      <c r="I20" s="1"/>
      <c r="J20" s="1"/>
      <c r="K20" s="1"/>
      <c r="L20" s="1"/>
      <c r="M20" s="1"/>
      <c r="N20" s="1"/>
      <c r="O20" s="1"/>
      <c r="P20" s="1"/>
    </row>
    <row r="21" spans="2:16" ht="15" thickBot="1" x14ac:dyDescent="0.4">
      <c r="B21" s="1" t="s">
        <v>200</v>
      </c>
      <c r="C21" s="1"/>
      <c r="D21" s="1"/>
      <c r="E21" s="1"/>
      <c r="F21" s="1"/>
      <c r="G21" s="77">
        <f>SUM(H19:P19)</f>
        <v>15022.517679077333</v>
      </c>
      <c r="H21" s="1"/>
      <c r="I21" s="1"/>
      <c r="J21" s="95" t="s">
        <v>201</v>
      </c>
      <c r="K21" s="95"/>
      <c r="L21" s="95"/>
      <c r="M21" s="95"/>
      <c r="N21" s="95"/>
      <c r="O21" s="95"/>
      <c r="P21" s="95"/>
    </row>
    <row r="22" spans="2:16" x14ac:dyDescent="0.35">
      <c r="B22" s="1" t="s">
        <v>202</v>
      </c>
      <c r="C22" s="1"/>
      <c r="D22" s="1"/>
      <c r="E22" s="1"/>
      <c r="F22" s="1"/>
      <c r="G22" s="77">
        <f>G36</f>
        <v>737174.10366369935</v>
      </c>
      <c r="H22" s="1"/>
      <c r="I22" s="1"/>
      <c r="J22" s="1"/>
      <c r="K22" s="96" t="s">
        <v>166</v>
      </c>
      <c r="L22" s="96"/>
      <c r="M22" s="96"/>
      <c r="N22" s="96"/>
      <c r="O22" s="96"/>
      <c r="P22" s="96"/>
    </row>
    <row r="23" spans="2:16" x14ac:dyDescent="0.35">
      <c r="B23" s="13" t="s">
        <v>203</v>
      </c>
      <c r="C23" s="13"/>
      <c r="D23" s="13"/>
      <c r="E23" s="1"/>
      <c r="F23" s="1"/>
      <c r="G23" s="31">
        <f>SUM(G21:G22)</f>
        <v>752196.62134277669</v>
      </c>
      <c r="H23" s="1"/>
      <c r="I23" s="1"/>
      <c r="J23" s="97" t="s">
        <v>204</v>
      </c>
      <c r="K23" s="78">
        <f>G30</f>
        <v>885939.62134277669</v>
      </c>
      <c r="L23" s="108">
        <v>9.5000000000000001E-2</v>
      </c>
      <c r="M23" s="108">
        <v>0.1</v>
      </c>
      <c r="N23" s="108">
        <v>0.1038</v>
      </c>
      <c r="O23" s="108">
        <v>0.1075</v>
      </c>
      <c r="P23" s="108">
        <v>0.1125</v>
      </c>
    </row>
    <row r="24" spans="2:16" x14ac:dyDescent="0.35">
      <c r="B24" s="1" t="s">
        <v>205</v>
      </c>
      <c r="C24" s="1"/>
      <c r="D24" s="1"/>
      <c r="E24" s="1"/>
      <c r="F24" s="1"/>
      <c r="G24" s="14">
        <f>Data!C68</f>
        <v>71014</v>
      </c>
      <c r="H24" s="1"/>
      <c r="I24" s="1"/>
      <c r="J24" s="97"/>
      <c r="K24" s="108">
        <v>6.5000000000000002E-2</v>
      </c>
      <c r="L24" s="14">
        <f t="dataTable" ref="L24:P28" dt2D="1" dtr="1" r1="G33" r2="G34"/>
        <v>979315.00780684524</v>
      </c>
      <c r="M24" s="14">
        <v>860665.08064573538</v>
      </c>
      <c r="N24" s="14">
        <v>790942.95849951636</v>
      </c>
      <c r="O24" s="14">
        <v>735035.74600456061</v>
      </c>
      <c r="P24" s="14">
        <v>673323.09039135184</v>
      </c>
    </row>
    <row r="25" spans="2:16" x14ac:dyDescent="0.35">
      <c r="B25" s="13" t="s">
        <v>206</v>
      </c>
      <c r="C25" s="13"/>
      <c r="D25" s="13"/>
      <c r="E25" s="1"/>
      <c r="F25" s="1"/>
      <c r="G25" s="31">
        <f>G23+G24</f>
        <v>823210.62134277669</v>
      </c>
      <c r="H25" s="1"/>
      <c r="I25" s="1"/>
      <c r="J25" s="97"/>
      <c r="K25" s="108">
        <v>6.7500000000000004E-2</v>
      </c>
      <c r="L25" s="14">
        <v>1054819.5069093695</v>
      </c>
      <c r="M25" s="14">
        <v>915426.58548932464</v>
      </c>
      <c r="N25" s="14">
        <v>835170.05497475329</v>
      </c>
      <c r="O25" s="14">
        <v>771677.63527490338</v>
      </c>
      <c r="P25" s="14">
        <v>702465.1777642559</v>
      </c>
    </row>
    <row r="26" spans="2:16" x14ac:dyDescent="0.35">
      <c r="B26" s="1" t="s">
        <v>207</v>
      </c>
      <c r="C26" s="1"/>
      <c r="D26" s="1"/>
      <c r="E26" s="1"/>
      <c r="F26" s="1"/>
      <c r="G26" s="14">
        <f>-'Rough Sheet'!F39</f>
        <v>-27101</v>
      </c>
      <c r="H26" s="1"/>
      <c r="I26" s="1"/>
      <c r="J26" s="97"/>
      <c r="K26" s="108">
        <v>7.0000000000000007E-2</v>
      </c>
      <c r="L26" s="14">
        <v>1145424.9058323991</v>
      </c>
      <c r="M26" s="14">
        <v>979315.00780684524</v>
      </c>
      <c r="N26" s="31">
        <v>885939.62134277669</v>
      </c>
      <c r="O26" s="14">
        <v>813205.1097812918</v>
      </c>
      <c r="P26" s="14">
        <v>735035.74600456061</v>
      </c>
    </row>
    <row r="27" spans="2:16" x14ac:dyDescent="0.35">
      <c r="B27" s="1" t="s">
        <v>257</v>
      </c>
      <c r="C27" s="1"/>
      <c r="D27" s="1"/>
      <c r="E27" s="1"/>
      <c r="F27" s="1"/>
      <c r="G27" s="14">
        <f>Data!C69</f>
        <v>9730</v>
      </c>
      <c r="H27" s="1"/>
      <c r="I27" s="1"/>
      <c r="J27" s="97"/>
      <c r="K27" s="108">
        <v>7.2499999999999995E-2</v>
      </c>
      <c r="L27" s="14">
        <v>1256164.8378494342</v>
      </c>
      <c r="M27" s="14">
        <v>1054819.5069093693</v>
      </c>
      <c r="N27" s="14">
        <v>944819.34208268847</v>
      </c>
      <c r="O27" s="14">
        <v>860665.08064573538</v>
      </c>
      <c r="P27" s="14">
        <v>771677.63527490315</v>
      </c>
    </row>
    <row r="28" spans="2:16" x14ac:dyDescent="0.35">
      <c r="B28" s="1" t="s">
        <v>259</v>
      </c>
      <c r="G28" s="14">
        <f>Data!C70</f>
        <v>80100</v>
      </c>
      <c r="H28" s="1"/>
      <c r="I28" s="1"/>
      <c r="J28" s="97"/>
      <c r="K28" s="108">
        <v>7.4999999999999997E-2</v>
      </c>
      <c r="L28" s="14">
        <v>1394589.752870729</v>
      </c>
      <c r="M28" s="14">
        <v>1145424.9058323987</v>
      </c>
      <c r="N28" s="14">
        <v>1013921.2365621687</v>
      </c>
      <c r="O28" s="14">
        <v>915426.58548932464</v>
      </c>
      <c r="P28" s="14">
        <v>813205.10978129157</v>
      </c>
    </row>
    <row r="29" spans="2:16" x14ac:dyDescent="0.35">
      <c r="B29" s="1" t="s">
        <v>208</v>
      </c>
      <c r="C29" s="1"/>
      <c r="D29" s="1"/>
      <c r="E29" s="1"/>
      <c r="F29" s="1"/>
      <c r="G29" s="14">
        <v>0</v>
      </c>
      <c r="H29" s="1"/>
      <c r="I29" s="1"/>
      <c r="J29" s="1"/>
      <c r="K29" s="1"/>
      <c r="L29" s="1"/>
      <c r="M29" s="1"/>
      <c r="N29" s="1"/>
      <c r="O29" s="1"/>
      <c r="P29" s="1"/>
    </row>
    <row r="30" spans="2:16" x14ac:dyDescent="0.35">
      <c r="B30" s="104" t="s">
        <v>209</v>
      </c>
      <c r="C30" s="105"/>
      <c r="D30" s="105"/>
      <c r="E30" s="106"/>
      <c r="F30" s="106"/>
      <c r="G30" s="107">
        <f>G25+G26+G27+G28+G29</f>
        <v>885939.62134277669</v>
      </c>
      <c r="H30" s="1"/>
      <c r="I30" s="1"/>
      <c r="J30" s="1"/>
      <c r="K30" s="1"/>
      <c r="L30" s="1"/>
      <c r="M30" s="1"/>
      <c r="N30" s="1"/>
      <c r="O30" s="1"/>
      <c r="P30" s="1"/>
    </row>
    <row r="31" spans="2:16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2:16" x14ac:dyDescent="0.35">
      <c r="B32" s="51" t="s">
        <v>164</v>
      </c>
      <c r="C32" s="52"/>
      <c r="D32" s="53"/>
      <c r="E32" s="53"/>
      <c r="F32" s="53" t="s">
        <v>165</v>
      </c>
      <c r="G32" s="53"/>
      <c r="H32" s="53"/>
      <c r="I32" s="54"/>
      <c r="J32" s="1"/>
      <c r="K32" s="1"/>
      <c r="L32" s="1"/>
      <c r="M32" s="1"/>
      <c r="N32" s="1"/>
      <c r="O32" s="1"/>
      <c r="P32" s="1"/>
    </row>
    <row r="33" spans="2:17" x14ac:dyDescent="0.35">
      <c r="B33" s="55" t="s">
        <v>166</v>
      </c>
      <c r="C33" s="39"/>
      <c r="D33" s="39"/>
      <c r="E33" s="1"/>
      <c r="F33" s="1"/>
      <c r="G33" s="56">
        <v>0.1038</v>
      </c>
      <c r="H33" s="32"/>
      <c r="I33" s="57"/>
      <c r="J33" s="32"/>
      <c r="K33" s="32"/>
      <c r="L33" s="32"/>
      <c r="M33" s="32"/>
      <c r="N33" s="32"/>
      <c r="O33" s="32"/>
      <c r="P33" s="32"/>
    </row>
    <row r="34" spans="2:17" x14ac:dyDescent="0.35">
      <c r="B34" s="58" t="s">
        <v>167</v>
      </c>
      <c r="C34" s="1"/>
      <c r="D34" s="1"/>
      <c r="E34" s="1"/>
      <c r="F34" s="1"/>
      <c r="G34" s="17">
        <v>7.0000000000000007E-2</v>
      </c>
      <c r="H34" s="1"/>
      <c r="I34" s="59"/>
      <c r="J34" s="1"/>
      <c r="K34" s="1"/>
      <c r="L34" s="1"/>
      <c r="M34" s="1"/>
      <c r="N34" s="1"/>
      <c r="O34" s="1"/>
      <c r="P34" s="1"/>
    </row>
    <row r="35" spans="2:17" x14ac:dyDescent="0.35">
      <c r="B35" s="58" t="s">
        <v>168</v>
      </c>
      <c r="C35" s="1"/>
      <c r="D35" s="1"/>
      <c r="E35" s="1"/>
      <c r="F35" s="1"/>
      <c r="G35" s="14">
        <f>P19/(G33-G34)</f>
        <v>1893841.9841712264</v>
      </c>
      <c r="H35" s="1"/>
      <c r="I35" s="59"/>
      <c r="J35" s="1"/>
      <c r="K35" s="1"/>
      <c r="L35" s="1"/>
      <c r="M35" s="1"/>
      <c r="N35" s="1"/>
      <c r="O35" s="1"/>
      <c r="P35" s="1"/>
    </row>
    <row r="36" spans="2:17" x14ac:dyDescent="0.35">
      <c r="B36" s="42" t="s">
        <v>169</v>
      </c>
      <c r="C36" s="43"/>
      <c r="D36" s="43"/>
      <c r="E36" s="43"/>
      <c r="F36" s="43"/>
      <c r="G36" s="60">
        <f>G35*P17</f>
        <v>737174.10366369935</v>
      </c>
      <c r="H36" s="43"/>
      <c r="I36" s="61"/>
      <c r="J36" s="1"/>
      <c r="K36" s="1"/>
      <c r="L36" s="1"/>
      <c r="M36" s="1"/>
      <c r="N36" s="1"/>
      <c r="O36" s="1"/>
      <c r="P36" s="1"/>
    </row>
    <row r="37" spans="2:17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2:17" x14ac:dyDescent="0.35">
      <c r="B38" s="38" t="s">
        <v>170</v>
      </c>
      <c r="C38" s="39"/>
      <c r="D38" s="39"/>
      <c r="E38" s="39"/>
      <c r="F38" s="39"/>
      <c r="G38" s="62"/>
      <c r="H38" s="62">
        <f>YEARFRAC($G$5,H8)</f>
        <v>0.5</v>
      </c>
      <c r="I38" s="62">
        <f>YEARFRAC($G$5,I8)</f>
        <v>1.5027777777777778</v>
      </c>
      <c r="J38" s="62">
        <f>YEARFRAC($G$5,J8)</f>
        <v>2.5</v>
      </c>
      <c r="K38" s="62">
        <f>YEARFRAC($G$5,K8)</f>
        <v>3.5</v>
      </c>
      <c r="L38" s="62">
        <f>YEARFRAC($G$5,L8)</f>
        <v>4.5</v>
      </c>
      <c r="M38" s="62">
        <f>YEARFRAC($G$5,M8)</f>
        <v>5.5027777777777782</v>
      </c>
      <c r="N38" s="62">
        <f>YEARFRAC($G$5,N8)</f>
        <v>6.5</v>
      </c>
      <c r="O38" s="62">
        <f>YEARFRAC($G$5,O8)</f>
        <v>7.5</v>
      </c>
      <c r="P38" s="63">
        <f>YEARFRAC($G$5,P8)</f>
        <v>8.5</v>
      </c>
    </row>
    <row r="39" spans="2:17" x14ac:dyDescent="0.35">
      <c r="B39" s="42" t="s">
        <v>171</v>
      </c>
      <c r="C39" s="43"/>
      <c r="D39" s="43"/>
      <c r="E39" s="43"/>
      <c r="F39" s="43"/>
      <c r="G39" s="64"/>
      <c r="H39" s="64">
        <f>YEARFRAC($G$5,H5)</f>
        <v>1</v>
      </c>
      <c r="I39" s="64">
        <f>YEARFRAC($G$5,I5)</f>
        <v>2</v>
      </c>
      <c r="J39" s="64">
        <f>YEARFRAC($G$5,J5)</f>
        <v>3</v>
      </c>
      <c r="K39" s="64">
        <f>YEARFRAC($G$5,K5)</f>
        <v>4</v>
      </c>
      <c r="L39" s="64">
        <f>YEARFRAC($G$5,L5)</f>
        <v>5</v>
      </c>
      <c r="M39" s="64">
        <f>YEARFRAC($G$5,M5)</f>
        <v>6</v>
      </c>
      <c r="N39" s="64">
        <f>YEARFRAC($G$5,N5)</f>
        <v>7</v>
      </c>
      <c r="O39" s="64">
        <f>YEARFRAC($G$5,O5)</f>
        <v>8</v>
      </c>
      <c r="P39" s="65">
        <f>YEARFRAC($G$5,P5)</f>
        <v>9</v>
      </c>
    </row>
    <row r="41" spans="2:17" x14ac:dyDescent="0.35">
      <c r="B41" s="13" t="s">
        <v>247</v>
      </c>
      <c r="C41" s="1"/>
      <c r="D41" s="1"/>
      <c r="E41" s="1"/>
      <c r="F41" s="1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</row>
    <row r="42" spans="2:17" x14ac:dyDescent="0.35">
      <c r="B42" s="1"/>
      <c r="C42" s="1"/>
      <c r="D42" s="1"/>
      <c r="E42" s="1"/>
      <c r="F42" s="1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</row>
    <row r="43" spans="2:17" x14ac:dyDescent="0.35">
      <c r="B43" s="13" t="s">
        <v>248</v>
      </c>
      <c r="C43" s="1"/>
      <c r="D43" s="1"/>
      <c r="E43" s="1"/>
      <c r="F43" s="1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</row>
    <row r="44" spans="2:17" x14ac:dyDescent="0.35">
      <c r="B44" s="52" t="s">
        <v>10</v>
      </c>
      <c r="C44" s="99"/>
      <c r="D44" s="99"/>
      <c r="E44" s="52"/>
      <c r="F44" s="99"/>
      <c r="G44" s="52"/>
      <c r="H44" s="99"/>
      <c r="I44" s="99"/>
      <c r="J44" s="99"/>
      <c r="K44" s="99"/>
      <c r="L44" s="99"/>
      <c r="M44" s="99"/>
      <c r="N44" s="99"/>
      <c r="O44" s="99"/>
      <c r="P44" s="99"/>
    </row>
    <row r="45" spans="2:17" x14ac:dyDescent="0.35">
      <c r="B45" s="1" t="s">
        <v>249</v>
      </c>
      <c r="C45" s="1"/>
      <c r="D45" s="14"/>
      <c r="E45" s="1"/>
      <c r="F45" s="100">
        <v>5.21E-2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2:17" x14ac:dyDescent="0.35">
      <c r="B46" s="1" t="s">
        <v>250</v>
      </c>
      <c r="C46" s="1"/>
      <c r="D46" s="14"/>
      <c r="E46" s="1"/>
      <c r="F46" s="14"/>
      <c r="G46" s="100"/>
      <c r="H46" s="18">
        <f>'Rough Sheet'!F112</f>
        <v>1.2584332430520293</v>
      </c>
      <c r="I46" s="18">
        <f>H46+($P46-$H46)/COUNT($I$6:$P$6)</f>
        <v>1.2261290876705258</v>
      </c>
      <c r="J46" s="18">
        <f>I46+($P$46-$H$46)/COUNT($I$6:$P$6)</f>
        <v>1.1938249322890222</v>
      </c>
      <c r="K46" s="18">
        <f>J46+($P$46-$H$46)/COUNT($I$6:$P$6)</f>
        <v>1.1615207769075186</v>
      </c>
      <c r="L46" s="18">
        <f>K46+($P$46-$H$46)/COUNT($I$6:$P$6)</f>
        <v>1.1292166215260151</v>
      </c>
      <c r="M46" s="18">
        <f>L46+($P$46-$H$46)/COUNT($I$6:$P$6)</f>
        <v>1.0969124661445115</v>
      </c>
      <c r="N46" s="18">
        <f>M46+($P$46-$H$46)/COUNT($I$6:$P$6)</f>
        <v>1.064608310763008</v>
      </c>
      <c r="O46" s="18">
        <f>N46+($P$46-$H$46)/COUNT($I$6:$P$6)</f>
        <v>1.0323041553815044</v>
      </c>
      <c r="P46" s="18">
        <v>1</v>
      </c>
    </row>
    <row r="47" spans="2:17" x14ac:dyDescent="0.35">
      <c r="B47" s="1"/>
      <c r="C47" s="1"/>
      <c r="D47" s="14"/>
      <c r="E47" s="1"/>
      <c r="F47" s="14"/>
      <c r="G47" s="100"/>
      <c r="H47" s="14"/>
      <c r="I47" s="14"/>
      <c r="J47" s="14"/>
      <c r="K47" s="14"/>
      <c r="L47" s="14"/>
      <c r="M47" s="14"/>
      <c r="N47" s="14"/>
      <c r="O47" s="14"/>
      <c r="P47" s="14"/>
    </row>
    <row r="48" spans="2:17" x14ac:dyDescent="0.35">
      <c r="B48" s="1" t="s">
        <v>251</v>
      </c>
      <c r="C48" s="1"/>
      <c r="D48" s="14"/>
      <c r="E48" s="1"/>
      <c r="F48" s="100">
        <v>4.4600000000000001E-2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2:16" x14ac:dyDescent="0.35">
      <c r="B49" s="1" t="s">
        <v>252</v>
      </c>
      <c r="C49" s="1"/>
      <c r="D49" s="14"/>
      <c r="E49" s="1"/>
      <c r="F49" s="100"/>
      <c r="G49" s="14"/>
      <c r="H49" s="32">
        <v>2.8500000000000001E-2</v>
      </c>
      <c r="I49" s="32">
        <f>H49+($P49-$H49)/COUNT($I$6:$P$6)</f>
        <v>2.7525000000000001E-2</v>
      </c>
      <c r="J49" s="32">
        <f t="shared" ref="J49:O49" si="7">I49+($P49-$H49)/COUNT($I$6:$P$6)</f>
        <v>2.6550000000000001E-2</v>
      </c>
      <c r="K49" s="32">
        <f t="shared" si="7"/>
        <v>2.5575000000000001E-2</v>
      </c>
      <c r="L49" s="32">
        <f t="shared" si="7"/>
        <v>2.46E-2</v>
      </c>
      <c r="M49" s="32">
        <f t="shared" si="7"/>
        <v>2.3625E-2</v>
      </c>
      <c r="N49" s="32">
        <f t="shared" si="7"/>
        <v>2.265E-2</v>
      </c>
      <c r="O49" s="32">
        <f t="shared" si="7"/>
        <v>2.1675E-2</v>
      </c>
      <c r="P49" s="32">
        <f>2.07%</f>
        <v>2.07E-2</v>
      </c>
    </row>
    <row r="50" spans="2:16" x14ac:dyDescent="0.35">
      <c r="B50" s="43" t="s">
        <v>253</v>
      </c>
      <c r="C50" s="43"/>
      <c r="D50" s="60"/>
      <c r="E50" s="43"/>
      <c r="F50" s="60"/>
      <c r="G50" s="101"/>
      <c r="H50" s="102">
        <f>$F$45+H46*$F$48+H49</f>
        <v>0.13672612264012052</v>
      </c>
      <c r="I50" s="102">
        <f t="shared" ref="I50:P50" si="8">$F$45+I46*$F$48+I49</f>
        <v>0.13431035731010546</v>
      </c>
      <c r="J50" s="102">
        <f t="shared" si="8"/>
        <v>0.13189459198009038</v>
      </c>
      <c r="K50" s="102">
        <f t="shared" si="8"/>
        <v>0.12947882665007532</v>
      </c>
      <c r="L50" s="102">
        <f t="shared" si="8"/>
        <v>0.12706306132006029</v>
      </c>
      <c r="M50" s="102">
        <f t="shared" si="8"/>
        <v>0.12464729599004523</v>
      </c>
      <c r="N50" s="102">
        <f t="shared" si="8"/>
        <v>0.12223153066003016</v>
      </c>
      <c r="O50" s="102">
        <f t="shared" si="8"/>
        <v>0.11981576533001509</v>
      </c>
      <c r="P50" s="102">
        <f t="shared" si="8"/>
        <v>0.1174</v>
      </c>
    </row>
  </sheetData>
  <mergeCells count="3">
    <mergeCell ref="J21:P21"/>
    <mergeCell ref="K22:P22"/>
    <mergeCell ref="J23:J28"/>
  </mergeCells>
  <dataValidations count="1">
    <dataValidation allowBlank="1" showErrorMessage="1" sqref="C8" xr:uid="{AB191B3E-37EB-4FF6-9A5A-0FAA0C92032A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FE05C-845E-4054-8445-AB69C8669085}">
  <dimension ref="B2:N34"/>
  <sheetViews>
    <sheetView showGridLines="0" workbookViewId="0">
      <selection activeCell="C14" sqref="C14"/>
    </sheetView>
  </sheetViews>
  <sheetFormatPr defaultRowHeight="14.5" x14ac:dyDescent="0.35"/>
  <cols>
    <col min="1" max="1" width="2" customWidth="1"/>
    <col min="2" max="2" width="1.81640625" customWidth="1"/>
    <col min="3" max="3" width="29.6328125" bestFit="1" customWidth="1"/>
    <col min="5" max="10" width="9.90625" bestFit="1" customWidth="1"/>
    <col min="11" max="14" width="10.6328125" bestFit="1" customWidth="1"/>
    <col min="15" max="15" width="2.1796875" customWidth="1"/>
  </cols>
  <sheetData>
    <row r="2" spans="2:14" ht="30" x14ac:dyDescent="0.6">
      <c r="B2" s="68" t="s">
        <v>245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2:14" ht="19" x14ac:dyDescent="0.4">
      <c r="B3" s="70" t="s">
        <v>210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2:14" ht="15" thickBot="1" x14ac:dyDescent="0.4">
      <c r="B4" s="22" t="s">
        <v>102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2:14" x14ac:dyDescent="0.35">
      <c r="B5" s="1" t="s">
        <v>10</v>
      </c>
      <c r="C5" s="1"/>
      <c r="D5" s="1"/>
      <c r="E5" s="24">
        <v>1</v>
      </c>
      <c r="F5" s="24">
        <v>2</v>
      </c>
      <c r="G5" s="24">
        <v>3</v>
      </c>
      <c r="H5" s="24">
        <v>4</v>
      </c>
      <c r="I5" s="24">
        <v>5</v>
      </c>
      <c r="J5" s="24">
        <v>6</v>
      </c>
      <c r="K5" s="24">
        <v>7</v>
      </c>
      <c r="L5" s="24">
        <v>8</v>
      </c>
      <c r="M5" s="24">
        <v>9</v>
      </c>
      <c r="N5" s="24">
        <v>10</v>
      </c>
    </row>
    <row r="6" spans="2:14" x14ac:dyDescent="0.35">
      <c r="B6" s="1"/>
      <c r="C6" s="1"/>
      <c r="D6" s="1"/>
      <c r="E6" s="25">
        <v>46112</v>
      </c>
      <c r="F6" s="25">
        <f>EOMONTH(E6,12)</f>
        <v>46477</v>
      </c>
      <c r="G6" s="25">
        <f t="shared" ref="G6:N6" si="0">EOMONTH(F6,12)</f>
        <v>46843</v>
      </c>
      <c r="H6" s="25">
        <f t="shared" si="0"/>
        <v>47208</v>
      </c>
      <c r="I6" s="25">
        <f t="shared" si="0"/>
        <v>47573</v>
      </c>
      <c r="J6" s="25">
        <f t="shared" si="0"/>
        <v>47938</v>
      </c>
      <c r="K6" s="25">
        <f t="shared" si="0"/>
        <v>48304</v>
      </c>
      <c r="L6" s="25">
        <f t="shared" si="0"/>
        <v>48669</v>
      </c>
      <c r="M6" s="25">
        <f t="shared" si="0"/>
        <v>49034</v>
      </c>
      <c r="N6" s="25">
        <f t="shared" si="0"/>
        <v>49399</v>
      </c>
    </row>
    <row r="7" spans="2:14" ht="15" thickBot="1" x14ac:dyDescent="0.4">
      <c r="B7" s="23"/>
      <c r="C7" s="23"/>
      <c r="D7" s="23"/>
      <c r="E7" s="26">
        <f t="shared" ref="E7:N7" si="1">YEAR(E6)</f>
        <v>2026</v>
      </c>
      <c r="F7" s="27">
        <f t="shared" si="1"/>
        <v>2027</v>
      </c>
      <c r="G7" s="27">
        <f t="shared" si="1"/>
        <v>2028</v>
      </c>
      <c r="H7" s="27">
        <f t="shared" si="1"/>
        <v>2029</v>
      </c>
      <c r="I7" s="27">
        <f t="shared" si="1"/>
        <v>2030</v>
      </c>
      <c r="J7" s="27">
        <f t="shared" si="1"/>
        <v>2031</v>
      </c>
      <c r="K7" s="27">
        <f t="shared" si="1"/>
        <v>2032</v>
      </c>
      <c r="L7" s="27">
        <f t="shared" si="1"/>
        <v>2033</v>
      </c>
      <c r="M7" s="27">
        <f t="shared" si="1"/>
        <v>2034</v>
      </c>
      <c r="N7" s="27">
        <f t="shared" si="1"/>
        <v>2035</v>
      </c>
    </row>
    <row r="8" spans="2:14" x14ac:dyDescent="0.35">
      <c r="B8" s="1"/>
      <c r="C8" s="1"/>
      <c r="D8" s="1"/>
      <c r="E8" s="79"/>
      <c r="F8" s="79"/>
      <c r="G8" s="79"/>
      <c r="H8" s="74"/>
      <c r="I8" s="80"/>
      <c r="J8" s="80"/>
      <c r="K8" s="80"/>
      <c r="L8" s="80"/>
      <c r="M8" s="80"/>
      <c r="N8" s="80"/>
    </row>
    <row r="9" spans="2:14" x14ac:dyDescent="0.35">
      <c r="B9" s="13" t="s">
        <v>224</v>
      </c>
      <c r="C9" s="13"/>
      <c r="D9" s="13"/>
    </row>
    <row r="10" spans="2:14" x14ac:dyDescent="0.35">
      <c r="B10" s="13"/>
      <c r="C10" s="13" t="s">
        <v>225</v>
      </c>
      <c r="D10" s="13"/>
      <c r="E10" s="81">
        <f>'Rough Sheet'!I15</f>
        <v>209878.58000000002</v>
      </c>
      <c r="F10" s="31">
        <f>'Rough Sheet'!J15</f>
        <v>338133.28245041781</v>
      </c>
      <c r="G10" s="31">
        <f>'Rough Sheet'!K15</f>
        <v>444144.33569683711</v>
      </c>
      <c r="H10" s="31">
        <f>'Rough Sheet'!L15</f>
        <v>566821.76933308411</v>
      </c>
      <c r="I10" s="31">
        <f>'Rough Sheet'!M15</f>
        <v>709265.4395116067</v>
      </c>
      <c r="J10" s="31">
        <f>'Rough Sheet'!N15</f>
        <v>878630.58417003078</v>
      </c>
      <c r="K10" s="31">
        <f>'Rough Sheet'!O15</f>
        <v>1077448.4443965573</v>
      </c>
      <c r="L10" s="31">
        <f>'Rough Sheet'!P15</f>
        <v>1294438.7899951898</v>
      </c>
      <c r="M10" s="31">
        <f>'Rough Sheet'!Q15</f>
        <v>1506890.7349768204</v>
      </c>
      <c r="N10" s="31">
        <f>'Rough Sheet'!R15</f>
        <v>1735389.5899049281</v>
      </c>
    </row>
    <row r="11" spans="2:14" x14ac:dyDescent="0.35">
      <c r="B11" s="13"/>
      <c r="C11" s="13" t="s">
        <v>226</v>
      </c>
      <c r="D11" s="13"/>
      <c r="E11" s="81">
        <f>'Rough Sheet'!I28</f>
        <v>16357.259999999998</v>
      </c>
      <c r="F11" s="31">
        <f>'Rough Sheet'!J28</f>
        <v>20606.296435512144</v>
      </c>
      <c r="G11" s="31">
        <f>'Rough Sheet'!K28</f>
        <v>25704.091143375201</v>
      </c>
      <c r="H11" s="31">
        <f>'Rough Sheet'!L28</f>
        <v>31139.903592833496</v>
      </c>
      <c r="I11" s="31">
        <f>'Rough Sheet'!M28</f>
        <v>36973.248690368251</v>
      </c>
      <c r="J11" s="31">
        <f>'Rough Sheet'!N28</f>
        <v>43440.708104387231</v>
      </c>
      <c r="K11" s="31">
        <f>'Rough Sheet'!O28</f>
        <v>50499.840960398484</v>
      </c>
      <c r="L11" s="31">
        <f>'Rough Sheet'!P28</f>
        <v>57485.161156813498</v>
      </c>
      <c r="M11" s="31">
        <f>'Rough Sheet'!Q28</f>
        <v>63372.405571287862</v>
      </c>
      <c r="N11" s="31">
        <f>'Rough Sheet'!R28</f>
        <v>69072.906232088353</v>
      </c>
    </row>
    <row r="12" spans="2:14" x14ac:dyDescent="0.35">
      <c r="B12" s="13"/>
      <c r="C12" s="13"/>
      <c r="D12" s="13"/>
      <c r="E12" s="81"/>
      <c r="F12" s="31"/>
      <c r="G12" s="31"/>
      <c r="H12" s="31"/>
      <c r="I12" s="31"/>
      <c r="J12" s="31"/>
      <c r="K12" s="31"/>
      <c r="L12" s="31"/>
      <c r="M12" s="31"/>
      <c r="N12" s="31"/>
    </row>
    <row r="13" spans="2:14" x14ac:dyDescent="0.35">
      <c r="B13" s="1"/>
      <c r="C13" s="1" t="s">
        <v>114</v>
      </c>
      <c r="D13" s="1"/>
      <c r="E13" s="82">
        <f>'Rough Sheet'!I33</f>
        <v>168825.23535015227</v>
      </c>
      <c r="F13" s="14">
        <f>'Rough Sheet'!J33</f>
        <v>269949.01729152421</v>
      </c>
      <c r="G13" s="14">
        <f>'Rough Sheet'!K33</f>
        <v>351898.69080008712</v>
      </c>
      <c r="H13" s="14">
        <f>'Rough Sheet'!L33</f>
        <v>445671.09272423398</v>
      </c>
      <c r="I13" s="14">
        <f>'Rough Sheet'!M33</f>
        <v>553382.60267738113</v>
      </c>
      <c r="J13" s="14">
        <f>'Rough Sheet'!N33</f>
        <v>680214.23688377393</v>
      </c>
      <c r="K13" s="14">
        <f>'Rough Sheet'!O33</f>
        <v>827622.19232129643</v>
      </c>
      <c r="L13" s="14">
        <f>'Rough Sheet'!P33</f>
        <v>986475.91924892354</v>
      </c>
      <c r="M13" s="14">
        <f>'Rough Sheet'!Q33</f>
        <v>1139275.4954962658</v>
      </c>
      <c r="N13" s="14">
        <f>'Rough Sheet'!R33</f>
        <v>1301542.192428696</v>
      </c>
    </row>
    <row r="14" spans="2:14" x14ac:dyDescent="0.35">
      <c r="B14" s="1"/>
      <c r="C14" s="13" t="s">
        <v>211</v>
      </c>
      <c r="D14" s="13"/>
      <c r="E14" s="21">
        <f>E10+E11-E13</f>
        <v>57410.604649847752</v>
      </c>
      <c r="F14" s="21">
        <f t="shared" ref="F14:N14" si="2">F10+F11-F13</f>
        <v>88790.561594405735</v>
      </c>
      <c r="G14" s="21">
        <f t="shared" si="2"/>
        <v>117949.73604012519</v>
      </c>
      <c r="H14" s="21">
        <f t="shared" si="2"/>
        <v>152290.58020168368</v>
      </c>
      <c r="I14" s="21">
        <f t="shared" si="2"/>
        <v>192856.08552459383</v>
      </c>
      <c r="J14" s="21">
        <f t="shared" si="2"/>
        <v>241857.05539064412</v>
      </c>
      <c r="K14" s="21">
        <f t="shared" si="2"/>
        <v>300326.0930356594</v>
      </c>
      <c r="L14" s="21">
        <f t="shared" si="2"/>
        <v>365448.03190307983</v>
      </c>
      <c r="M14" s="21">
        <f t="shared" si="2"/>
        <v>430987.64505184256</v>
      </c>
      <c r="N14" s="21">
        <f t="shared" si="2"/>
        <v>502920.30370832048</v>
      </c>
    </row>
    <row r="15" spans="2:14" x14ac:dyDescent="0.35">
      <c r="B15" s="1"/>
      <c r="C15" s="1"/>
      <c r="D15" s="1"/>
      <c r="E15" s="14"/>
      <c r="F15" s="14"/>
      <c r="G15" s="14"/>
      <c r="H15" s="18"/>
      <c r="I15" s="14"/>
      <c r="J15" s="14"/>
      <c r="K15" s="14"/>
      <c r="L15" s="14"/>
      <c r="M15" s="14"/>
      <c r="N15" s="14"/>
    </row>
    <row r="16" spans="2:14" x14ac:dyDescent="0.35">
      <c r="B16" s="1"/>
      <c r="C16" s="20" t="s">
        <v>223</v>
      </c>
      <c r="D16" s="1"/>
      <c r="E16" s="82">
        <f>'Rough Sheet'!I36</f>
        <v>158280.79197834776</v>
      </c>
      <c r="F16" s="14">
        <f t="shared" ref="F16:N16" si="3">F14-F17</f>
        <v>131917.40134824722</v>
      </c>
      <c r="G16" s="14">
        <f t="shared" si="3"/>
        <v>140575.29394276458</v>
      </c>
      <c r="H16" s="14">
        <f t="shared" si="3"/>
        <v>150747.65549346685</v>
      </c>
      <c r="I16" s="14">
        <f t="shared" si="3"/>
        <v>171230.82079558526</v>
      </c>
      <c r="J16" s="14">
        <f t="shared" si="3"/>
        <v>202482.71222284195</v>
      </c>
      <c r="K16" s="14">
        <f t="shared" si="3"/>
        <v>239059.23692313081</v>
      </c>
      <c r="L16" s="14">
        <f t="shared" si="3"/>
        <v>278338.64415619889</v>
      </c>
      <c r="M16" s="14">
        <f t="shared" si="3"/>
        <v>315683.75564232457</v>
      </c>
      <c r="N16" s="14">
        <f t="shared" si="3"/>
        <v>355754.86593051034</v>
      </c>
    </row>
    <row r="17" spans="2:14" x14ac:dyDescent="0.35">
      <c r="B17" s="1"/>
      <c r="C17" s="13" t="s">
        <v>212</v>
      </c>
      <c r="D17" s="13"/>
      <c r="E17" s="21">
        <f>E11+(E10*'Rough Sheet'!I35)</f>
        <v>-50415.610227000012</v>
      </c>
      <c r="F17" s="21">
        <f>F11+(F10*'Rough Sheet'!J35)</f>
        <v>-43126.839753841479</v>
      </c>
      <c r="G17" s="21">
        <f>G11+(G10*'Rough Sheet'!K35)</f>
        <v>-22625.557902639393</v>
      </c>
      <c r="H17" s="21">
        <f>H11+(H10*'Rough Sheet'!L35)</f>
        <v>1542.9247082168331</v>
      </c>
      <c r="I17" s="21">
        <f>I11+(I10*'Rough Sheet'!M35)</f>
        <v>21625.264729008581</v>
      </c>
      <c r="J17" s="21">
        <f>J11+(J10*'Rough Sheet'!N35)</f>
        <v>39374.343167802181</v>
      </c>
      <c r="K17" s="21">
        <f>K11+(K10*'Rough Sheet'!O35)</f>
        <v>61266.8561125286</v>
      </c>
      <c r="L17" s="21">
        <f>L11+(L10*'Rough Sheet'!P35)</f>
        <v>87109.387746880951</v>
      </c>
      <c r="M17" s="21">
        <f>M11+(M10*'Rough Sheet'!Q35)</f>
        <v>115303.88940951799</v>
      </c>
      <c r="N17" s="21">
        <f>N11+(N10*'Rough Sheet'!R35)</f>
        <v>147165.43777781012</v>
      </c>
    </row>
    <row r="18" spans="2:14" x14ac:dyDescent="0.35">
      <c r="B18" s="1"/>
      <c r="C18" s="1"/>
      <c r="D18" s="1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2:14" x14ac:dyDescent="0.35">
      <c r="B19" s="1"/>
      <c r="C19" s="1" t="s">
        <v>213</v>
      </c>
      <c r="D19" s="1"/>
      <c r="E19" s="82">
        <v>8942.56</v>
      </c>
      <c r="F19" s="84">
        <f>'Rough Sheet'!J91</f>
        <v>13695.180588320556</v>
      </c>
      <c r="G19" s="84">
        <f>'Rough Sheet'!K91</f>
        <v>19938.913176578459</v>
      </c>
      <c r="H19" s="84">
        <f>'Rough Sheet'!L91</f>
        <v>24661.018571015717</v>
      </c>
      <c r="I19" s="84">
        <f>'Rough Sheet'!M91</f>
        <v>29348.691870266393</v>
      </c>
      <c r="J19" s="84">
        <f>'Rough Sheet'!N91</f>
        <v>32292.391160027506</v>
      </c>
      <c r="K19" s="84">
        <f>'Rough Sheet'!O91</f>
        <v>38331.05810342684</v>
      </c>
      <c r="L19" s="84">
        <f>'Rough Sheet'!P91</f>
        <v>44857.662086890166</v>
      </c>
      <c r="M19" s="84">
        <f>'Rough Sheet'!Q91</f>
        <v>51066.519341073006</v>
      </c>
      <c r="N19" s="84">
        <f>'Rough Sheet'!R91</f>
        <v>56834.896662570216</v>
      </c>
    </row>
    <row r="20" spans="2:14" x14ac:dyDescent="0.35">
      <c r="B20" s="1"/>
      <c r="C20" s="13" t="s">
        <v>188</v>
      </c>
      <c r="D20" s="13"/>
      <c r="E20" s="21">
        <f>E17-E19</f>
        <v>-59358.17022700001</v>
      </c>
      <c r="F20" s="21">
        <f t="shared" ref="F20:N20" si="4">F17-F19</f>
        <v>-56822.020342162039</v>
      </c>
      <c r="G20" s="21">
        <f t="shared" si="4"/>
        <v>-42564.471079217852</v>
      </c>
      <c r="H20" s="21">
        <f t="shared" si="4"/>
        <v>-23118.093862798883</v>
      </c>
      <c r="I20" s="21">
        <f t="shared" si="4"/>
        <v>-7723.4271412578128</v>
      </c>
      <c r="J20" s="21">
        <f t="shared" si="4"/>
        <v>7081.9520077746747</v>
      </c>
      <c r="K20" s="21">
        <f t="shared" si="4"/>
        <v>22935.79800910176</v>
      </c>
      <c r="L20" s="21">
        <f t="shared" si="4"/>
        <v>42251.725659990785</v>
      </c>
      <c r="M20" s="21">
        <f t="shared" si="4"/>
        <v>64237.37006844498</v>
      </c>
      <c r="N20" s="21">
        <f t="shared" si="4"/>
        <v>90330.541115239903</v>
      </c>
    </row>
    <row r="21" spans="2:14" x14ac:dyDescent="0.35">
      <c r="B21" s="1"/>
      <c r="C21" s="1"/>
      <c r="D21" s="1"/>
      <c r="E21" s="15"/>
      <c r="F21" s="15"/>
      <c r="G21" s="15"/>
      <c r="H21" s="15"/>
      <c r="I21" s="14"/>
      <c r="J21" s="14"/>
      <c r="K21" s="14"/>
      <c r="L21" s="14"/>
      <c r="M21" s="14"/>
      <c r="N21" s="14"/>
    </row>
    <row r="22" spans="2:14" x14ac:dyDescent="0.35">
      <c r="B22" s="1"/>
      <c r="C22" s="1" t="s">
        <v>214</v>
      </c>
      <c r="D22" s="1"/>
      <c r="E22" s="82">
        <v>2647.91</v>
      </c>
      <c r="F22" s="84">
        <f>'Rough Sheet'!J53</f>
        <v>3732.9020016364407</v>
      </c>
      <c r="G22" s="84">
        <f>'Rough Sheet'!K53</f>
        <v>5098.3437536988413</v>
      </c>
      <c r="H22" s="84">
        <f>'Rough Sheet'!L53</f>
        <v>6284.0348958332806</v>
      </c>
      <c r="I22" s="84">
        <f>'Rough Sheet'!M53</f>
        <v>7554.1663362290255</v>
      </c>
      <c r="J22" s="84">
        <f>'Rough Sheet'!N53</f>
        <v>8938.0702441937046</v>
      </c>
      <c r="K22" s="84">
        <f>'Rough Sheet'!O53</f>
        <v>10452.668618986676</v>
      </c>
      <c r="L22" s="84">
        <f>'Rough Sheet'!P53</f>
        <v>12013.019544814621</v>
      </c>
      <c r="M22" s="84">
        <f>'Rough Sheet'!Q53</f>
        <v>13423.759977383694</v>
      </c>
      <c r="N22" s="84">
        <f>'Rough Sheet'!R53</f>
        <v>14664.510324334435</v>
      </c>
    </row>
    <row r="23" spans="2:14" x14ac:dyDescent="0.35">
      <c r="B23" s="1"/>
      <c r="C23" s="13" t="s">
        <v>215</v>
      </c>
      <c r="D23" s="13"/>
      <c r="E23" s="21">
        <f>E20-E22</f>
        <v>-62006.080227000013</v>
      </c>
      <c r="F23" s="21">
        <f t="shared" ref="F23:N23" si="5">F20-F22</f>
        <v>-60554.922343798477</v>
      </c>
      <c r="G23" s="21">
        <f t="shared" si="5"/>
        <v>-47662.814832916694</v>
      </c>
      <c r="H23" s="21">
        <f t="shared" si="5"/>
        <v>-29402.128758632163</v>
      </c>
      <c r="I23" s="21">
        <f t="shared" si="5"/>
        <v>-15277.593477486838</v>
      </c>
      <c r="J23" s="21">
        <f t="shared" si="5"/>
        <v>-1856.1182364190299</v>
      </c>
      <c r="K23" s="21">
        <f t="shared" si="5"/>
        <v>12483.129390115084</v>
      </c>
      <c r="L23" s="21">
        <f t="shared" si="5"/>
        <v>30238.706115176166</v>
      </c>
      <c r="M23" s="21">
        <f t="shared" si="5"/>
        <v>50813.610091061288</v>
      </c>
      <c r="N23" s="21">
        <f t="shared" si="5"/>
        <v>75666.030790905468</v>
      </c>
    </row>
    <row r="24" spans="2:14" x14ac:dyDescent="0.35">
      <c r="B24" s="1"/>
      <c r="C24" s="1"/>
      <c r="D24" s="1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2:14" x14ac:dyDescent="0.35">
      <c r="B25" s="1"/>
      <c r="C25" s="1" t="s">
        <v>228</v>
      </c>
      <c r="D25" s="1"/>
      <c r="E25" s="82">
        <f>'Rough Sheet'!I114</f>
        <v>5047.9399999999996</v>
      </c>
      <c r="F25" s="84">
        <f>'Rough Sheet'!J114</f>
        <v>5552.7340000000004</v>
      </c>
      <c r="G25" s="84">
        <f>'Rough Sheet'!K114</f>
        <v>6108.0074000000013</v>
      </c>
      <c r="H25" s="84">
        <f>'Rough Sheet'!L114</f>
        <v>6718.8081400000019</v>
      </c>
      <c r="I25" s="84">
        <f>'Rough Sheet'!M114</f>
        <v>7390.6889540000029</v>
      </c>
      <c r="J25" s="84">
        <f>'Rough Sheet'!N114</f>
        <v>8129.7578494000036</v>
      </c>
      <c r="K25" s="84">
        <f>'Rough Sheet'!O114</f>
        <v>8942.7336343400038</v>
      </c>
      <c r="L25" s="84">
        <f>'Rough Sheet'!P114</f>
        <v>9837.0069977740059</v>
      </c>
      <c r="M25" s="84">
        <f>'Rough Sheet'!Q114</f>
        <v>10820.707697551406</v>
      </c>
      <c r="N25" s="84">
        <f>'Rough Sheet'!R114</f>
        <v>11902.778467306549</v>
      </c>
    </row>
    <row r="26" spans="2:14" x14ac:dyDescent="0.35">
      <c r="B26" s="1"/>
      <c r="C26" s="13" t="s">
        <v>216</v>
      </c>
      <c r="D26" s="1"/>
      <c r="E26" s="21">
        <f>E23+E25</f>
        <v>-56958.140227000011</v>
      </c>
      <c r="F26" s="21">
        <f t="shared" ref="F26:N26" si="6">F23+F25</f>
        <v>-55002.18834379848</v>
      </c>
      <c r="G26" s="21">
        <f t="shared" si="6"/>
        <v>-41554.807432916692</v>
      </c>
      <c r="H26" s="21">
        <f t="shared" si="6"/>
        <v>-22683.320618632162</v>
      </c>
      <c r="I26" s="21">
        <f t="shared" si="6"/>
        <v>-7886.9045234868354</v>
      </c>
      <c r="J26" s="21">
        <f t="shared" si="6"/>
        <v>6273.6396129809737</v>
      </c>
      <c r="K26" s="21">
        <f t="shared" si="6"/>
        <v>21425.863024455088</v>
      </c>
      <c r="L26" s="21">
        <f t="shared" si="6"/>
        <v>40075.713112950172</v>
      </c>
      <c r="M26" s="21">
        <f t="shared" si="6"/>
        <v>61634.317788612694</v>
      </c>
      <c r="N26" s="21">
        <f t="shared" si="6"/>
        <v>87568.809258212015</v>
      </c>
    </row>
    <row r="27" spans="2:14" x14ac:dyDescent="0.35">
      <c r="B27" s="1"/>
      <c r="C27" s="13"/>
      <c r="D27" s="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2:14" x14ac:dyDescent="0.35">
      <c r="B28" s="1"/>
      <c r="C28" s="1" t="s">
        <v>217</v>
      </c>
      <c r="D28" s="1"/>
      <c r="E28" s="14">
        <v>0</v>
      </c>
      <c r="F28" s="14">
        <f>'Rough Sheet'!J124</f>
        <v>0</v>
      </c>
      <c r="G28" s="14">
        <f>'Rough Sheet'!K124</f>
        <v>0</v>
      </c>
      <c r="H28" s="14">
        <f>'Rough Sheet'!L124</f>
        <v>0</v>
      </c>
      <c r="I28" s="14">
        <f>'Rough Sheet'!M124</f>
        <v>0</v>
      </c>
      <c r="J28" s="14">
        <f>'Rough Sheet'!N124</f>
        <v>0</v>
      </c>
      <c r="K28" s="14">
        <f>'Rough Sheet'!O124</f>
        <v>1256.7016019616658</v>
      </c>
      <c r="L28" s="14">
        <f>'Rough Sheet'!P124</f>
        <v>3044.1910220270152</v>
      </c>
      <c r="M28" s="14">
        <f>'Rough Sheet'!Q124</f>
        <v>5115.5077550873229</v>
      </c>
      <c r="N28" s="14">
        <f>'Rough Sheet'!R124</f>
        <v>7617.4506517820364</v>
      </c>
    </row>
    <row r="29" spans="2:14" ht="15" thickBot="1" x14ac:dyDescent="0.4">
      <c r="B29" s="1"/>
      <c r="C29" s="13" t="s">
        <v>218</v>
      </c>
      <c r="D29" s="13"/>
      <c r="E29" s="36">
        <f>E26-E28</f>
        <v>-56958.140227000011</v>
      </c>
      <c r="F29" s="36">
        <f t="shared" ref="F29:N29" si="7">F26-F28</f>
        <v>-55002.18834379848</v>
      </c>
      <c r="G29" s="36">
        <f t="shared" si="7"/>
        <v>-41554.807432916692</v>
      </c>
      <c r="H29" s="36">
        <f t="shared" si="7"/>
        <v>-22683.320618632162</v>
      </c>
      <c r="I29" s="36">
        <f t="shared" si="7"/>
        <v>-7886.9045234868354</v>
      </c>
      <c r="J29" s="36">
        <f t="shared" si="7"/>
        <v>6273.6396129809737</v>
      </c>
      <c r="K29" s="36">
        <f t="shared" si="7"/>
        <v>20169.161422493424</v>
      </c>
      <c r="L29" s="36">
        <f t="shared" si="7"/>
        <v>37031.522090923158</v>
      </c>
      <c r="M29" s="36">
        <f t="shared" si="7"/>
        <v>56518.810033525369</v>
      </c>
      <c r="N29" s="36">
        <f t="shared" si="7"/>
        <v>79951.358606429974</v>
      </c>
    </row>
    <row r="30" spans="2:14" ht="15" thickTop="1" x14ac:dyDescent="0.35">
      <c r="B30" s="1"/>
      <c r="C30" s="1"/>
      <c r="D30" s="1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2:14" x14ac:dyDescent="0.35">
      <c r="B31" s="55" t="s">
        <v>219</v>
      </c>
      <c r="C31" s="39"/>
      <c r="D31" s="39"/>
      <c r="E31" s="30"/>
      <c r="F31" s="30"/>
      <c r="G31" s="30"/>
      <c r="H31" s="30"/>
      <c r="I31" s="30"/>
      <c r="J31" s="30"/>
      <c r="K31" s="30"/>
      <c r="L31" s="30"/>
      <c r="M31" s="30"/>
      <c r="N31" s="87"/>
    </row>
    <row r="32" spans="2:14" x14ac:dyDescent="0.35">
      <c r="B32" s="58"/>
      <c r="C32" s="1" t="s">
        <v>220</v>
      </c>
      <c r="D32" s="1"/>
      <c r="E32" s="17">
        <f>E17/SUM(E10:E11)</f>
        <v>-0.22284537333695673</v>
      </c>
      <c r="F32" s="17">
        <f t="shared" ref="F32:N32" si="8">F17/SUM(F10:F11)</f>
        <v>-0.12021767959858902</v>
      </c>
      <c r="G32" s="17">
        <f t="shared" si="8"/>
        <v>-4.8155014702930932E-2</v>
      </c>
      <c r="H32" s="17">
        <f t="shared" si="8"/>
        <v>2.580307029825285E-3</v>
      </c>
      <c r="I32" s="17">
        <f t="shared" si="8"/>
        <v>2.8979018470770501E-2</v>
      </c>
      <c r="J32" s="17">
        <f t="shared" si="8"/>
        <v>4.2702059480324829E-2</v>
      </c>
      <c r="K32" s="17">
        <f t="shared" si="8"/>
        <v>5.4317078990141647E-2</v>
      </c>
      <c r="L32" s="17">
        <f t="shared" si="8"/>
        <v>6.4433644860462144E-2</v>
      </c>
      <c r="M32" s="17">
        <f t="shared" si="8"/>
        <v>7.3429660565853039E-2</v>
      </c>
      <c r="N32" s="92">
        <f t="shared" si="8"/>
        <v>8.1556384847488436E-2</v>
      </c>
    </row>
    <row r="33" spans="2:14" x14ac:dyDescent="0.35">
      <c r="B33" s="58"/>
      <c r="C33" s="1" t="s">
        <v>221</v>
      </c>
      <c r="D33" s="1"/>
      <c r="E33" s="17">
        <f>E20/SUM(E10:E11)</f>
        <v>-0.26237297426879846</v>
      </c>
      <c r="F33" s="17">
        <f t="shared" ref="F33:N33" si="9">F20/SUM(F10:F11)</f>
        <v>-0.15839350795533491</v>
      </c>
      <c r="G33" s="17">
        <f t="shared" si="9"/>
        <v>-9.0591919963357304E-2</v>
      </c>
      <c r="H33" s="17">
        <f t="shared" si="9"/>
        <v>-3.8661497733924188E-2</v>
      </c>
      <c r="I33" s="17">
        <f t="shared" si="9"/>
        <v>-1.0349807994901775E-2</v>
      </c>
      <c r="J33" s="17">
        <f t="shared" si="9"/>
        <v>7.680482048525822E-3</v>
      </c>
      <c r="K33" s="17">
        <f t="shared" si="9"/>
        <v>2.0334086506318318E-2</v>
      </c>
      <c r="L33" s="17">
        <f t="shared" si="9"/>
        <v>3.1253034332284137E-2</v>
      </c>
      <c r="M33" s="17">
        <f t="shared" si="9"/>
        <v>4.0908665821463908E-2</v>
      </c>
      <c r="N33" s="92">
        <f t="shared" si="9"/>
        <v>5.0059528146813269E-2</v>
      </c>
    </row>
    <row r="34" spans="2:14" x14ac:dyDescent="0.35">
      <c r="B34" s="42"/>
      <c r="C34" s="43" t="s">
        <v>222</v>
      </c>
      <c r="D34" s="43"/>
      <c r="E34" s="93">
        <f>E29/SUM(E10:E11)</f>
        <v>-0.25176444292380906</v>
      </c>
      <c r="F34" s="93">
        <f t="shared" ref="F34:N34" si="10">F29/SUM(F10:F11)</f>
        <v>-0.15332065816269405</v>
      </c>
      <c r="G34" s="93">
        <f t="shared" si="10"/>
        <v>-8.8443006423109288E-2</v>
      </c>
      <c r="H34" s="93">
        <f t="shared" si="10"/>
        <v>-3.7934405574255647E-2</v>
      </c>
      <c r="I34" s="93">
        <f t="shared" si="10"/>
        <v>-1.0568876484399302E-2</v>
      </c>
      <c r="J34" s="93">
        <f t="shared" si="10"/>
        <v>6.8038552610245164E-3</v>
      </c>
      <c r="K34" s="93">
        <f t="shared" si="10"/>
        <v>1.7881282044868392E-2</v>
      </c>
      <c r="L34" s="93">
        <f t="shared" si="10"/>
        <v>2.7391719822233939E-2</v>
      </c>
      <c r="M34" s="93">
        <f t="shared" si="10"/>
        <v>3.5993209401703967E-2</v>
      </c>
      <c r="N34" s="94">
        <f t="shared" si="10"/>
        <v>4.4307575678402523E-2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E8E79-A3AE-4B1C-8FDE-4E2F3D178C06}">
  <dimension ref="B2:T135"/>
  <sheetViews>
    <sheetView topLeftCell="H24" workbookViewId="0">
      <selection activeCell="R36" sqref="R36"/>
    </sheetView>
  </sheetViews>
  <sheetFormatPr defaultRowHeight="14" outlineLevelRow="1" x14ac:dyDescent="0.3"/>
  <cols>
    <col min="1" max="1" width="8.7265625" style="1"/>
    <col min="2" max="2" width="1.54296875" style="1" customWidth="1"/>
    <col min="3" max="3" width="36.08984375" style="1" bestFit="1" customWidth="1"/>
    <col min="4" max="4" width="9.7265625" style="1" bestFit="1" customWidth="1"/>
    <col min="5" max="5" width="8.7265625" style="1"/>
    <col min="6" max="6" width="11.1796875" style="1" bestFit="1" customWidth="1"/>
    <col min="7" max="7" width="31.453125" style="1" bestFit="1" customWidth="1"/>
    <col min="8" max="8" width="16.54296875" style="1" bestFit="1" customWidth="1"/>
    <col min="9" max="9" width="13.08984375" style="1" bestFit="1" customWidth="1"/>
    <col min="10" max="18" width="12.26953125" style="1" bestFit="1" customWidth="1"/>
    <col min="19" max="19" width="9.54296875" style="1" bestFit="1" customWidth="1"/>
    <col min="20" max="16384" width="8.7265625" style="1"/>
  </cols>
  <sheetData>
    <row r="2" spans="2:20" x14ac:dyDescent="0.3">
      <c r="B2" s="50" t="s">
        <v>162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2:20" ht="15" thickBot="1" x14ac:dyDescent="0.4">
      <c r="B3" s="22" t="s">
        <v>102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2:20" x14ac:dyDescent="0.3">
      <c r="B4" s="1" t="s">
        <v>10</v>
      </c>
      <c r="F4" s="24">
        <v>1</v>
      </c>
      <c r="G4" s="24">
        <v>2</v>
      </c>
      <c r="H4" s="24">
        <v>3</v>
      </c>
      <c r="I4" s="24">
        <v>4</v>
      </c>
      <c r="J4" s="24">
        <v>5</v>
      </c>
      <c r="K4" s="24">
        <v>6</v>
      </c>
      <c r="L4" s="24">
        <v>7</v>
      </c>
      <c r="M4" s="24">
        <v>8</v>
      </c>
      <c r="N4" s="24">
        <v>9</v>
      </c>
      <c r="O4" s="24">
        <v>10</v>
      </c>
      <c r="P4" s="24">
        <v>11</v>
      </c>
      <c r="Q4" s="24">
        <v>12</v>
      </c>
      <c r="R4" s="24">
        <v>13</v>
      </c>
    </row>
    <row r="5" spans="2:20" x14ac:dyDescent="0.3">
      <c r="F5" s="25">
        <v>45016</v>
      </c>
      <c r="G5" s="25">
        <f t="shared" ref="G5:R5" si="0">EOMONTH(F5,12)</f>
        <v>45382</v>
      </c>
      <c r="H5" s="25">
        <f t="shared" si="0"/>
        <v>45747</v>
      </c>
      <c r="I5" s="25">
        <f t="shared" si="0"/>
        <v>46112</v>
      </c>
      <c r="J5" s="25">
        <f t="shared" si="0"/>
        <v>46477</v>
      </c>
      <c r="K5" s="25">
        <f t="shared" si="0"/>
        <v>46843</v>
      </c>
      <c r="L5" s="25">
        <f t="shared" si="0"/>
        <v>47208</v>
      </c>
      <c r="M5" s="25">
        <f t="shared" si="0"/>
        <v>47573</v>
      </c>
      <c r="N5" s="25">
        <f t="shared" si="0"/>
        <v>47938</v>
      </c>
      <c r="O5" s="25">
        <f t="shared" si="0"/>
        <v>48304</v>
      </c>
      <c r="P5" s="25">
        <f t="shared" si="0"/>
        <v>48669</v>
      </c>
      <c r="Q5" s="25">
        <f t="shared" si="0"/>
        <v>49034</v>
      </c>
      <c r="R5" s="25">
        <f t="shared" si="0"/>
        <v>49399</v>
      </c>
    </row>
    <row r="6" spans="2:20" ht="14.5" thickBot="1" x14ac:dyDescent="0.35">
      <c r="B6" s="23"/>
      <c r="C6" s="23"/>
      <c r="D6" s="23"/>
      <c r="E6" s="23"/>
      <c r="F6" s="26">
        <f t="shared" ref="F6:R6" si="1">YEAR(F5)</f>
        <v>2023</v>
      </c>
      <c r="G6" s="26">
        <f t="shared" si="1"/>
        <v>2024</v>
      </c>
      <c r="H6" s="26">
        <f t="shared" si="1"/>
        <v>2025</v>
      </c>
      <c r="I6" s="26">
        <f>YEAR(I5)</f>
        <v>2026</v>
      </c>
      <c r="J6" s="27">
        <f t="shared" si="1"/>
        <v>2027</v>
      </c>
      <c r="K6" s="27">
        <f t="shared" si="1"/>
        <v>2028</v>
      </c>
      <c r="L6" s="27">
        <f t="shared" si="1"/>
        <v>2029</v>
      </c>
      <c r="M6" s="27">
        <f t="shared" si="1"/>
        <v>2030</v>
      </c>
      <c r="N6" s="27">
        <f t="shared" si="1"/>
        <v>2031</v>
      </c>
      <c r="O6" s="27">
        <f t="shared" si="1"/>
        <v>2032</v>
      </c>
      <c r="P6" s="27">
        <f t="shared" si="1"/>
        <v>2033</v>
      </c>
      <c r="Q6" s="27">
        <f t="shared" si="1"/>
        <v>2034</v>
      </c>
      <c r="R6" s="27">
        <f t="shared" si="1"/>
        <v>2035</v>
      </c>
    </row>
    <row r="7" spans="2:20" x14ac:dyDescent="0.3">
      <c r="B7" s="13" t="s">
        <v>97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5"/>
    </row>
    <row r="8" spans="2:20" x14ac:dyDescent="0.3">
      <c r="C8" s="1" t="s">
        <v>103</v>
      </c>
      <c r="F8" s="14">
        <f>Data!H45</f>
        <v>22952.400000000001</v>
      </c>
      <c r="G8" s="14">
        <f>Data!I45</f>
        <v>52317.04</v>
      </c>
      <c r="H8" s="14">
        <f>Data!J45</f>
        <v>127037.29</v>
      </c>
      <c r="I8" s="14">
        <f>Data!K45</f>
        <v>248155.39</v>
      </c>
      <c r="J8" s="14">
        <f>I8*(1+J9)</f>
        <v>395681.2845042941</v>
      </c>
      <c r="K8" s="14">
        <f t="shared" ref="K8:Q8" si="2">J8*(1+K9)</f>
        <v>514434.1821822151</v>
      </c>
      <c r="L8" s="14">
        <f t="shared" si="2"/>
        <v>649898.42837133422</v>
      </c>
      <c r="M8" s="14">
        <f t="shared" si="2"/>
        <v>805091.61675688019</v>
      </c>
      <c r="N8" s="14">
        <f t="shared" si="2"/>
        <v>987469.63177448907</v>
      </c>
      <c r="O8" s="14">
        <f t="shared" si="2"/>
        <v>1199050.2581914098</v>
      </c>
      <c r="P8" s="14">
        <f t="shared" si="2"/>
        <v>1426551.8625740942</v>
      </c>
      <c r="Q8" s="14">
        <f t="shared" si="2"/>
        <v>1644727.154445732</v>
      </c>
      <c r="R8" s="14">
        <f>Assumptions!F48*Assumptions!G44*Assumptions!G7*1000</f>
        <v>1876096.8539512735</v>
      </c>
      <c r="S8" s="29"/>
      <c r="T8" s="1">
        <f>(R8/I8)^(1/9)-1</f>
        <v>0.25202965598932869</v>
      </c>
    </row>
    <row r="9" spans="2:20" x14ac:dyDescent="0.3">
      <c r="C9" s="1" t="s">
        <v>104</v>
      </c>
      <c r="D9" s="16" t="s">
        <v>27</v>
      </c>
      <c r="E9" s="16"/>
      <c r="F9" s="14"/>
      <c r="G9" s="32">
        <f>G8/F8-1</f>
        <v>1.2793712204388212</v>
      </c>
      <c r="H9" s="32">
        <f t="shared" ref="H9:I9" si="3">H8/G8-1</f>
        <v>1.4282201363074054</v>
      </c>
      <c r="I9" s="32">
        <f t="shared" si="3"/>
        <v>0.9534058857836154</v>
      </c>
      <c r="J9" s="32">
        <f>(1+$T$8)*(J11/$T$11)-1</f>
        <v>0.59448998671475195</v>
      </c>
      <c r="K9" s="32">
        <f t="shared" ref="K9:R9" si="4">(1+$T$8)*(K11/$T$11)-1</f>
        <v>0.30012260455202866</v>
      </c>
      <c r="L9" s="32">
        <f t="shared" si="4"/>
        <v>0.26332668178168817</v>
      </c>
      <c r="M9" s="32">
        <f t="shared" si="4"/>
        <v>0.23879606660146102</v>
      </c>
      <c r="N9" s="32">
        <f t="shared" si="4"/>
        <v>0.22653075901134745</v>
      </c>
      <c r="O9" s="32">
        <f t="shared" si="4"/>
        <v>0.2142654514212341</v>
      </c>
      <c r="P9" s="32">
        <f t="shared" si="4"/>
        <v>0.18973483624100718</v>
      </c>
      <c r="Q9" s="32">
        <f t="shared" si="4"/>
        <v>0.15293891347066668</v>
      </c>
      <c r="R9" s="32">
        <f t="shared" si="4"/>
        <v>0.14067360588055311</v>
      </c>
    </row>
    <row r="10" spans="2:20" ht="14.5" hidden="1" outlineLevel="1" x14ac:dyDescent="0.35">
      <c r="B10" s="18"/>
      <c r="C10" s="19" t="s">
        <v>98</v>
      </c>
      <c r="D10" s="18"/>
      <c r="E10" s="18"/>
      <c r="F10" s="18"/>
      <c r="G10" s="18"/>
      <c r="H10" s="18"/>
      <c r="I10" s="18"/>
      <c r="J10" s="18">
        <v>0.3</v>
      </c>
      <c r="K10" s="18">
        <v>0.06</v>
      </c>
      <c r="L10" s="18">
        <v>0.03</v>
      </c>
      <c r="M10" s="18">
        <v>0.01</v>
      </c>
      <c r="N10" s="1">
        <v>0</v>
      </c>
      <c r="O10" s="18">
        <v>-0.01</v>
      </c>
      <c r="P10" s="18">
        <v>-0.03</v>
      </c>
      <c r="Q10" s="18">
        <v>-0.06</v>
      </c>
      <c r="R10" s="18">
        <v>-7.0000000000000007E-2</v>
      </c>
    </row>
    <row r="11" spans="2:20" ht="14.5" hidden="1" outlineLevel="1" x14ac:dyDescent="0.35">
      <c r="B11" s="18"/>
      <c r="C11" s="19" t="s">
        <v>99</v>
      </c>
      <c r="D11" s="18"/>
      <c r="E11" s="18"/>
      <c r="F11" s="18"/>
      <c r="G11" s="18"/>
      <c r="H11" s="18"/>
      <c r="I11" s="18"/>
      <c r="J11" s="18">
        <f>1+J10</f>
        <v>1.3</v>
      </c>
      <c r="K11" s="18">
        <f t="shared" ref="K11:M11" si="5">1+K10</f>
        <v>1.06</v>
      </c>
      <c r="L11" s="18">
        <f t="shared" si="5"/>
        <v>1.03</v>
      </c>
      <c r="M11" s="18">
        <f t="shared" si="5"/>
        <v>1.01</v>
      </c>
      <c r="N11" s="18">
        <f>1+N10</f>
        <v>1</v>
      </c>
      <c r="O11" s="18">
        <f>1+O10</f>
        <v>0.99</v>
      </c>
      <c r="P11" s="18">
        <f>1+P10</f>
        <v>0.97</v>
      </c>
      <c r="Q11" s="18">
        <f>1+Q10</f>
        <v>0.94</v>
      </c>
      <c r="R11" s="18">
        <f>1+R10</f>
        <v>0.92999999999999994</v>
      </c>
      <c r="T11" s="1">
        <f>GEOMEAN(J11:R11)</f>
        <v>1.0207894476274975</v>
      </c>
    </row>
    <row r="12" spans="2:20" collapsed="1" x14ac:dyDescent="0.3"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spans="2:20" x14ac:dyDescent="0.3">
      <c r="C13" s="20" t="s">
        <v>100</v>
      </c>
      <c r="D13" s="16" t="s">
        <v>27</v>
      </c>
      <c r="E13" s="16"/>
      <c r="F13" s="14"/>
      <c r="G13" s="17">
        <f>Data!E42</f>
        <v>0.84204763878078737</v>
      </c>
      <c r="H13" s="17">
        <f>Data!D42</f>
        <v>0.82327842478377811</v>
      </c>
      <c r="I13" s="17">
        <f>Data!C42</f>
        <v>0.8457546700879639</v>
      </c>
      <c r="J13" s="17">
        <f>I13+($R$13-$I$13)/COUNT($J$4:$R$4)</f>
        <v>0.85455970674485682</v>
      </c>
      <c r="K13" s="17">
        <f t="shared" ref="K13:Q13" si="6">J13+($R$13-$I$13)/COUNT($J$4:$R$4)</f>
        <v>0.86336474340174973</v>
      </c>
      <c r="L13" s="17">
        <f t="shared" si="6"/>
        <v>0.87216978005864265</v>
      </c>
      <c r="M13" s="17">
        <f t="shared" si="6"/>
        <v>0.88097481671553557</v>
      </c>
      <c r="N13" s="17">
        <f t="shared" si="6"/>
        <v>0.88977985337242849</v>
      </c>
      <c r="O13" s="17">
        <f t="shared" si="6"/>
        <v>0.8985848900293214</v>
      </c>
      <c r="P13" s="17">
        <f t="shared" si="6"/>
        <v>0.90738992668621432</v>
      </c>
      <c r="Q13" s="17">
        <f t="shared" si="6"/>
        <v>0.91619496334310724</v>
      </c>
      <c r="R13" s="28">
        <v>0.92500000000000004</v>
      </c>
    </row>
    <row r="14" spans="2:20" x14ac:dyDescent="0.3">
      <c r="F14" s="14"/>
      <c r="G14" s="14"/>
      <c r="H14" s="14"/>
      <c r="I14" s="17"/>
      <c r="J14" s="17"/>
      <c r="K14" s="17"/>
      <c r="L14" s="17"/>
      <c r="M14" s="17"/>
      <c r="N14" s="17"/>
      <c r="O14" s="17"/>
      <c r="P14" s="17"/>
      <c r="Q14" s="17"/>
      <c r="R14" s="17"/>
    </row>
    <row r="15" spans="2:20" x14ac:dyDescent="0.3">
      <c r="B15" s="13"/>
      <c r="C15" s="13" t="s">
        <v>101</v>
      </c>
      <c r="D15" s="13"/>
      <c r="E15" s="13"/>
      <c r="F15" s="21"/>
      <c r="G15" s="21">
        <f>Data!E38</f>
        <v>44053.440000000002</v>
      </c>
      <c r="H15" s="21">
        <f>Data!D38</f>
        <v>104587.06</v>
      </c>
      <c r="I15" s="21">
        <f>Data!C38</f>
        <v>209878.58000000002</v>
      </c>
      <c r="J15" s="21">
        <f t="shared" ref="J15:R15" si="7">J13*J8</f>
        <v>338133.28245041781</v>
      </c>
      <c r="K15" s="21">
        <f t="shared" si="7"/>
        <v>444144.33569683711</v>
      </c>
      <c r="L15" s="21">
        <f t="shared" si="7"/>
        <v>566821.76933308411</v>
      </c>
      <c r="M15" s="21">
        <f t="shared" si="7"/>
        <v>709265.4395116067</v>
      </c>
      <c r="N15" s="21">
        <f t="shared" si="7"/>
        <v>878630.58417003078</v>
      </c>
      <c r="O15" s="21">
        <f t="shared" si="7"/>
        <v>1077448.4443965573</v>
      </c>
      <c r="P15" s="21">
        <f t="shared" si="7"/>
        <v>1294438.7899951898</v>
      </c>
      <c r="Q15" s="21">
        <f t="shared" si="7"/>
        <v>1506890.7349768204</v>
      </c>
      <c r="R15" s="21">
        <f t="shared" si="7"/>
        <v>1735389.5899049281</v>
      </c>
    </row>
    <row r="17" spans="2:20" x14ac:dyDescent="0.3">
      <c r="B17" s="13" t="s">
        <v>110</v>
      </c>
    </row>
    <row r="18" spans="2:20" x14ac:dyDescent="0.3">
      <c r="C18" s="1" t="s">
        <v>111</v>
      </c>
      <c r="H18" s="14">
        <f>Assumptions!F52*85</f>
        <v>51000</v>
      </c>
      <c r="I18" s="14">
        <f>H18*1.25</f>
        <v>63750</v>
      </c>
      <c r="J18" s="14">
        <f>I18*(1+$T$18)*(J20/$T$20)</f>
        <v>82072.247185316082</v>
      </c>
      <c r="K18" s="14">
        <f t="shared" ref="K18:Q18" si="8">J18*(1+$T$18)*(K20/$T$20)</f>
        <v>104672.97025516556</v>
      </c>
      <c r="L18" s="14">
        <f t="shared" si="8"/>
        <v>129719.16093172487</v>
      </c>
      <c r="M18" s="14">
        <f t="shared" si="8"/>
        <v>157636.89164107639</v>
      </c>
      <c r="N18" s="14">
        <f t="shared" si="8"/>
        <v>189666.32122105637</v>
      </c>
      <c r="O18" s="14">
        <f t="shared" si="8"/>
        <v>225921.6094704674</v>
      </c>
      <c r="P18" s="14">
        <f t="shared" si="8"/>
        <v>263670.69601107872</v>
      </c>
      <c r="Q18" s="14">
        <f t="shared" si="8"/>
        <v>298209.91381686425</v>
      </c>
      <c r="R18" s="14">
        <f>Assumptions!G57*85</f>
        <v>333685.53735308384</v>
      </c>
      <c r="T18" s="1">
        <f>(R18/I18)^(1/9)-1</f>
        <v>0.20191296973597495</v>
      </c>
    </row>
    <row r="19" spans="2:20" ht="14.5" outlineLevel="1" x14ac:dyDescent="0.35">
      <c r="C19" s="19" t="s">
        <v>98</v>
      </c>
      <c r="D19" s="18"/>
      <c r="E19" s="18"/>
      <c r="F19" s="18"/>
      <c r="G19" s="18"/>
      <c r="H19" s="18"/>
      <c r="I19" s="18"/>
      <c r="J19" s="18">
        <v>7.0000000000000007E-2</v>
      </c>
      <c r="K19" s="18">
        <v>0.06</v>
      </c>
      <c r="L19" s="18">
        <v>0.03</v>
      </c>
      <c r="M19" s="18">
        <v>0.01</v>
      </c>
      <c r="N19" s="1">
        <v>0</v>
      </c>
      <c r="O19" s="18">
        <v>-0.01</v>
      </c>
      <c r="P19" s="18">
        <v>-0.03</v>
      </c>
      <c r="Q19" s="18">
        <v>-0.06</v>
      </c>
      <c r="R19" s="18">
        <v>-7.0000000000000007E-2</v>
      </c>
    </row>
    <row r="20" spans="2:20" ht="14.5" outlineLevel="1" x14ac:dyDescent="0.35">
      <c r="C20" s="19" t="s">
        <v>99</v>
      </c>
      <c r="D20" s="18"/>
      <c r="E20" s="18"/>
      <c r="F20" s="18"/>
      <c r="G20" s="18"/>
      <c r="H20" s="18"/>
      <c r="I20" s="18"/>
      <c r="J20" s="18">
        <f>1+J19</f>
        <v>1.07</v>
      </c>
      <c r="K20" s="18">
        <f t="shared" ref="K20:M20" si="9">1+K19</f>
        <v>1.06</v>
      </c>
      <c r="L20" s="18">
        <f t="shared" si="9"/>
        <v>1.03</v>
      </c>
      <c r="M20" s="18">
        <f t="shared" si="9"/>
        <v>1.01</v>
      </c>
      <c r="N20" s="18">
        <f>1+N19</f>
        <v>1</v>
      </c>
      <c r="O20" s="18">
        <f>1+O19</f>
        <v>0.99</v>
      </c>
      <c r="P20" s="18">
        <f>1+P19</f>
        <v>0.97</v>
      </c>
      <c r="Q20" s="18">
        <f>1+Q19</f>
        <v>0.94</v>
      </c>
      <c r="R20" s="18">
        <f>1+R19</f>
        <v>0.92999999999999994</v>
      </c>
      <c r="T20" s="1">
        <f>GEOMEAN(J20:R20)</f>
        <v>0.99894289799321578</v>
      </c>
    </row>
    <row r="21" spans="2:20" x14ac:dyDescent="0.3">
      <c r="C21" s="1" t="s">
        <v>112</v>
      </c>
      <c r="H21" s="17">
        <f>Data!D39/'Rough Sheet'!H18</f>
        <v>0.1276943137254902</v>
      </c>
      <c r="I21" s="17">
        <f>Data!C39/'Rough Sheet'!I18</f>
        <v>0.25658447058823525</v>
      </c>
      <c r="J21" s="17">
        <f t="shared" ref="J21:Q21" si="10">I21+($R21-$I21)/COUNT($J$4:$R$4)</f>
        <v>0.25107508496732023</v>
      </c>
      <c r="K21" s="17">
        <f t="shared" si="10"/>
        <v>0.24556569934640521</v>
      </c>
      <c r="L21" s="17">
        <f t="shared" si="10"/>
        <v>0.24005631372549019</v>
      </c>
      <c r="M21" s="17">
        <f t="shared" si="10"/>
        <v>0.23454692810457517</v>
      </c>
      <c r="N21" s="17">
        <f t="shared" si="10"/>
        <v>0.22903754248366015</v>
      </c>
      <c r="O21" s="17">
        <f t="shared" si="10"/>
        <v>0.22352815686274513</v>
      </c>
      <c r="P21" s="17">
        <f t="shared" si="10"/>
        <v>0.21801877124183011</v>
      </c>
      <c r="Q21" s="17">
        <f t="shared" si="10"/>
        <v>0.21250938562091509</v>
      </c>
      <c r="R21" s="17">
        <v>0.20699999999999999</v>
      </c>
    </row>
    <row r="23" spans="2:20" x14ac:dyDescent="0.3">
      <c r="C23" s="1" t="s">
        <v>120</v>
      </c>
      <c r="G23" s="14">
        <f>Data!C30</f>
        <v>7.75</v>
      </c>
      <c r="H23" s="14">
        <f>Data!D30</f>
        <v>23</v>
      </c>
      <c r="I23" s="14">
        <f>Data!E30</f>
        <v>47.5</v>
      </c>
      <c r="J23" s="14">
        <f>J24*J25</f>
        <v>52.718230335179399</v>
      </c>
      <c r="K23" s="14">
        <f t="shared" ref="K23:R23" si="11">K24*K25</f>
        <v>58.100099345611419</v>
      </c>
      <c r="L23" s="14">
        <f t="shared" si="11"/>
        <v>63.645607031296045</v>
      </c>
      <c r="M23" s="14">
        <f t="shared" si="11"/>
        <v>69.354753392233292</v>
      </c>
      <c r="N23" s="14">
        <f t="shared" si="11"/>
        <v>75.227538428423145</v>
      </c>
      <c r="O23" s="14">
        <f t="shared" si="11"/>
        <v>81.263962139865612</v>
      </c>
      <c r="P23" s="14">
        <f t="shared" si="11"/>
        <v>87.464024526560706</v>
      </c>
      <c r="Q23" s="14">
        <f t="shared" si="11"/>
        <v>93.8277255885084</v>
      </c>
      <c r="R23" s="14">
        <f t="shared" si="11"/>
        <v>100.35506532570869</v>
      </c>
    </row>
    <row r="24" spans="2:20" x14ac:dyDescent="0.3">
      <c r="C24" s="1" t="s">
        <v>122</v>
      </c>
      <c r="I24" s="14">
        <f>Data!E31</f>
        <v>310</v>
      </c>
      <c r="J24" s="14">
        <f>I24+($R24-$I24)/COUNT($J$4:$R$4)</f>
        <v>337.50312674426465</v>
      </c>
      <c r="K24" s="14">
        <f t="shared" ref="K24:Q24" si="12">J24+($R$24-$I$24)/COUNT($J$4:$R$4)</f>
        <v>365.0062534885293</v>
      </c>
      <c r="L24" s="14">
        <f t="shared" si="12"/>
        <v>392.50938023279394</v>
      </c>
      <c r="M24" s="14">
        <f t="shared" si="12"/>
        <v>420.01250697705859</v>
      </c>
      <c r="N24" s="14">
        <f t="shared" si="12"/>
        <v>447.51563372132324</v>
      </c>
      <c r="O24" s="14">
        <f t="shared" si="12"/>
        <v>475.01876046558789</v>
      </c>
      <c r="P24" s="14">
        <f t="shared" si="12"/>
        <v>502.52188720985254</v>
      </c>
      <c r="Q24" s="14">
        <f t="shared" si="12"/>
        <v>530.02501395411718</v>
      </c>
      <c r="R24" s="14">
        <f>Data!G35</f>
        <v>557.52814069838166</v>
      </c>
    </row>
    <row r="25" spans="2:20" x14ac:dyDescent="0.3">
      <c r="C25" s="1" t="s">
        <v>158</v>
      </c>
      <c r="I25" s="17">
        <f>I23/I24</f>
        <v>0.15322580645161291</v>
      </c>
      <c r="J25" s="17">
        <f t="shared" ref="J25:Q25" si="13">I25+($R25-$I25)/COUNT($J$4:$R$4)</f>
        <v>0.15620071684587813</v>
      </c>
      <c r="K25" s="17">
        <f t="shared" si="13"/>
        <v>0.15917562724014336</v>
      </c>
      <c r="L25" s="17">
        <f t="shared" si="13"/>
        <v>0.16215053763440859</v>
      </c>
      <c r="M25" s="17">
        <f t="shared" si="13"/>
        <v>0.16512544802867382</v>
      </c>
      <c r="N25" s="17">
        <f t="shared" si="13"/>
        <v>0.16810035842293905</v>
      </c>
      <c r="O25" s="17">
        <f t="shared" si="13"/>
        <v>0.17107526881720428</v>
      </c>
      <c r="P25" s="17">
        <f t="shared" si="13"/>
        <v>0.17405017921146951</v>
      </c>
      <c r="Q25" s="17">
        <f t="shared" si="13"/>
        <v>0.17702508960573474</v>
      </c>
      <c r="R25" s="32">
        <v>0.18</v>
      </c>
    </row>
    <row r="26" spans="2:20" x14ac:dyDescent="0.3">
      <c r="I26" s="17"/>
      <c r="R26" s="32"/>
    </row>
    <row r="27" spans="2:20" hidden="1" outlineLevel="1" x14ac:dyDescent="0.3">
      <c r="C27" s="1" t="s">
        <v>159</v>
      </c>
      <c r="I27" s="49">
        <f>I28/I23</f>
        <v>344.3633684210526</v>
      </c>
      <c r="J27" s="49">
        <f>I27*1.08</f>
        <v>371.91243789473685</v>
      </c>
      <c r="K27" s="49">
        <f t="shared" ref="K27:R27" si="14">J27*1.08</f>
        <v>401.66543292631582</v>
      </c>
      <c r="L27" s="49">
        <f t="shared" si="14"/>
        <v>433.79866756042111</v>
      </c>
      <c r="M27" s="49">
        <f t="shared" si="14"/>
        <v>468.50256096525482</v>
      </c>
      <c r="N27" s="49">
        <f t="shared" si="14"/>
        <v>505.98276584247526</v>
      </c>
      <c r="O27" s="49">
        <f t="shared" si="14"/>
        <v>546.46138710987327</v>
      </c>
      <c r="P27" s="49">
        <f t="shared" si="14"/>
        <v>590.17829807866315</v>
      </c>
      <c r="Q27" s="49">
        <f t="shared" si="14"/>
        <v>637.39256192495623</v>
      </c>
      <c r="R27" s="49">
        <f t="shared" si="14"/>
        <v>688.38396687895272</v>
      </c>
    </row>
    <row r="28" spans="2:20" collapsed="1" x14ac:dyDescent="0.3">
      <c r="C28" s="13" t="s">
        <v>101</v>
      </c>
      <c r="D28" s="13"/>
      <c r="E28" s="13"/>
      <c r="F28" s="21"/>
      <c r="G28" s="21"/>
      <c r="H28" s="21"/>
      <c r="I28" s="21">
        <f>Data!C39</f>
        <v>16357.259999999998</v>
      </c>
      <c r="J28" s="21">
        <f>J21*J18</f>
        <v>20606.296435512144</v>
      </c>
      <c r="K28" s="21">
        <f t="shared" ref="K28:R28" si="15">K21*K18</f>
        <v>25704.091143375201</v>
      </c>
      <c r="L28" s="21">
        <f t="shared" si="15"/>
        <v>31139.903592833496</v>
      </c>
      <c r="M28" s="21">
        <f t="shared" si="15"/>
        <v>36973.248690368251</v>
      </c>
      <c r="N28" s="21">
        <f t="shared" si="15"/>
        <v>43440.708104387231</v>
      </c>
      <c r="O28" s="21">
        <f t="shared" si="15"/>
        <v>50499.840960398484</v>
      </c>
      <c r="P28" s="21">
        <f t="shared" si="15"/>
        <v>57485.161156813498</v>
      </c>
      <c r="Q28" s="21">
        <f t="shared" si="15"/>
        <v>63372.405571287862</v>
      </c>
      <c r="R28" s="21">
        <f t="shared" si="15"/>
        <v>69072.906232088353</v>
      </c>
    </row>
    <row r="31" spans="2:20" x14ac:dyDescent="0.3">
      <c r="B31" s="13" t="s">
        <v>97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2:20" x14ac:dyDescent="0.3">
      <c r="B32" s="13"/>
      <c r="C32" s="1" t="s">
        <v>113</v>
      </c>
      <c r="F32" s="14"/>
      <c r="G32" s="14"/>
      <c r="H32" s="17"/>
      <c r="I32" s="17">
        <f>1-Data!C48</f>
        <v>0.19560521445231682</v>
      </c>
      <c r="J32" s="17">
        <f t="shared" ref="J32:Q32" si="16">I32+($R32-$I32)/COUNT($J$4:$R$4)</f>
        <v>0.20164907951317051</v>
      </c>
      <c r="K32" s="17">
        <f t="shared" si="16"/>
        <v>0.20769294457402421</v>
      </c>
      <c r="L32" s="17">
        <f t="shared" si="16"/>
        <v>0.2137368096348779</v>
      </c>
      <c r="M32" s="17">
        <f t="shared" si="16"/>
        <v>0.21978067469573159</v>
      </c>
      <c r="N32" s="17">
        <f t="shared" si="16"/>
        <v>0.22582453975658529</v>
      </c>
      <c r="O32" s="17">
        <f t="shared" si="16"/>
        <v>0.23186840481743898</v>
      </c>
      <c r="P32" s="17">
        <f t="shared" si="16"/>
        <v>0.23791226987829267</v>
      </c>
      <c r="Q32" s="17">
        <f t="shared" si="16"/>
        <v>0.24395613493914636</v>
      </c>
      <c r="R32" s="17">
        <v>0.25</v>
      </c>
    </row>
    <row r="33" spans="2:20" x14ac:dyDescent="0.3">
      <c r="B33" s="13"/>
      <c r="C33" s="1" t="s">
        <v>114</v>
      </c>
      <c r="F33" s="30"/>
      <c r="G33" s="30"/>
      <c r="H33" s="21"/>
      <c r="I33" s="21">
        <f>(1-I32)*I15</f>
        <v>168825.23535015227</v>
      </c>
      <c r="J33" s="21">
        <f t="shared" ref="J33:R33" si="17">(1-J32)*J15</f>
        <v>269949.01729152421</v>
      </c>
      <c r="K33" s="21">
        <f t="shared" si="17"/>
        <v>351898.69080008712</v>
      </c>
      <c r="L33" s="21">
        <f t="shared" si="17"/>
        <v>445671.09272423398</v>
      </c>
      <c r="M33" s="21">
        <f t="shared" si="17"/>
        <v>553382.60267738113</v>
      </c>
      <c r="N33" s="21">
        <f t="shared" si="17"/>
        <v>680214.23688377393</v>
      </c>
      <c r="O33" s="21">
        <f t="shared" si="17"/>
        <v>827622.19232129643</v>
      </c>
      <c r="P33" s="21">
        <f t="shared" si="17"/>
        <v>986475.91924892354</v>
      </c>
      <c r="Q33" s="21">
        <f t="shared" si="17"/>
        <v>1139275.4954962658</v>
      </c>
      <c r="R33" s="21">
        <f t="shared" si="17"/>
        <v>1301542.192428696</v>
      </c>
    </row>
    <row r="34" spans="2:20" x14ac:dyDescent="0.3">
      <c r="B34" s="13"/>
      <c r="F34" s="14"/>
      <c r="G34" s="14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  <row r="35" spans="2:20" x14ac:dyDescent="0.3">
      <c r="C35" s="1" t="s">
        <v>127</v>
      </c>
      <c r="I35" s="17">
        <v>-0.31814999999999999</v>
      </c>
      <c r="J35" s="17">
        <f>$I$35+($R$35-$I$35)*(COUNT($J$4:J4)/(10-1))^$T$35-8%</f>
        <v>-0.18848524974378744</v>
      </c>
      <c r="K35" s="17">
        <f>$I$35+($R$35-$I$35)*(COUNT($J$4:K4)/(10-1))^$T$35-4%</f>
        <v>-0.10881518723004344</v>
      </c>
      <c r="L35" s="17">
        <f>$I$35+($R$35-$I$35)*(COUNT($J$4:L4)/(10-1))^$T$35-1%</f>
        <v>-5.2215670755624159E-2</v>
      </c>
      <c r="M35" s="17">
        <f>$I$35+($R$35-$I$35)*(COUNT($J$4:M4)/(10-1))^$T$35</f>
        <v>-2.1639266636096277E-2</v>
      </c>
      <c r="N35" s="17">
        <f>$I$35+($R$35-$I$35)*(COUNT($J$4:N4)/(10-1))^$T$35</f>
        <v>-4.6280712393209078E-3</v>
      </c>
      <c r="O35" s="17">
        <f>$I$35+($R$35-$I$35)*(COUNT($J$4:O4)/(10-1))^$T$35</f>
        <v>9.9930676109151184E-3</v>
      </c>
      <c r="P35" s="17">
        <f>$I$35+($R$35-$I$35)*(COUNT($J$4:P4)/(10-1))^$T$35</f>
        <v>2.2885768580975185E-2</v>
      </c>
      <c r="Q35" s="17">
        <f>$I$35+($R$35-$I$35)*(COUNT($J$4:Q4)/(10-1))^$T$35</f>
        <v>3.4462673791029019E-2</v>
      </c>
      <c r="R35" s="28">
        <v>4.4999999999999998E-2</v>
      </c>
      <c r="T35" s="1">
        <v>0.25</v>
      </c>
    </row>
    <row r="36" spans="2:20" x14ac:dyDescent="0.3">
      <c r="C36" s="1" t="s">
        <v>227</v>
      </c>
      <c r="I36" s="29">
        <f>I8-I33-I37</f>
        <v>158280.79197834776</v>
      </c>
      <c r="J36" s="29">
        <f t="shared" ref="J36:R36" si="18">J8-J33-J37</f>
        <v>200312.35294150439</v>
      </c>
      <c r="K36" s="29">
        <f t="shared" si="18"/>
        <v>218513.74323381999</v>
      </c>
      <c r="L36" s="29">
        <f t="shared" si="18"/>
        <v>238162.21800753541</v>
      </c>
      <c r="M36" s="29">
        <f t="shared" si="18"/>
        <v>269130.60624098702</v>
      </c>
      <c r="N36" s="29">
        <f t="shared" si="18"/>
        <v>311825.47469323344</v>
      </c>
      <c r="O36" s="29">
        <f t="shared" si="18"/>
        <v>359445.87557112135</v>
      </c>
      <c r="P36" s="29">
        <f t="shared" si="18"/>
        <v>407428.20752954081</v>
      </c>
      <c r="Q36" s="29">
        <f t="shared" si="18"/>
        <v>448769.96355055552</v>
      </c>
      <c r="R36" s="29">
        <f t="shared" si="18"/>
        <v>490130.30309477018</v>
      </c>
    </row>
    <row r="37" spans="2:20" x14ac:dyDescent="0.3">
      <c r="I37" s="29">
        <f>I35*I8</f>
        <v>-78950.637328500001</v>
      </c>
      <c r="J37" s="29">
        <f t="shared" ref="J37:R37" si="19">J35*J8</f>
        <v>-74580.085728734484</v>
      </c>
      <c r="K37" s="29">
        <f t="shared" si="19"/>
        <v>-55978.25185169201</v>
      </c>
      <c r="L37" s="29">
        <f t="shared" si="19"/>
        <v>-33934.882360435178</v>
      </c>
      <c r="M37" s="29">
        <f t="shared" si="19"/>
        <v>-17421.592161487966</v>
      </c>
      <c r="N37" s="29">
        <f t="shared" si="19"/>
        <v>-4570.0798025183203</v>
      </c>
      <c r="O37" s="29">
        <f t="shared" si="19"/>
        <v>11982.190298991987</v>
      </c>
      <c r="P37" s="29">
        <f t="shared" si="19"/>
        <v>32647.735795629837</v>
      </c>
      <c r="Q37" s="29">
        <f t="shared" si="19"/>
        <v>56681.69539891067</v>
      </c>
      <c r="R37" s="29">
        <f t="shared" si="19"/>
        <v>84424.35842780731</v>
      </c>
    </row>
    <row r="38" spans="2:20" x14ac:dyDescent="0.3">
      <c r="C38" s="1" t="s">
        <v>160</v>
      </c>
      <c r="F38" s="1">
        <v>25062</v>
      </c>
    </row>
    <row r="39" spans="2:20" x14ac:dyDescent="0.3">
      <c r="C39" s="1" t="s">
        <v>128</v>
      </c>
      <c r="F39" s="1">
        <f>5429.08+21671.92</f>
        <v>27101</v>
      </c>
    </row>
    <row r="40" spans="2:20" x14ac:dyDescent="0.3">
      <c r="C40" s="1" t="s">
        <v>129</v>
      </c>
    </row>
    <row r="41" spans="2:20" x14ac:dyDescent="0.3">
      <c r="C41" s="1" t="s">
        <v>130</v>
      </c>
    </row>
    <row r="42" spans="2:20" x14ac:dyDescent="0.3">
      <c r="B42" s="13" t="s">
        <v>131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spans="2:20" x14ac:dyDescent="0.3"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spans="2:20" x14ac:dyDescent="0.3">
      <c r="C44" s="34" t="s">
        <v>132</v>
      </c>
      <c r="D44" s="35">
        <v>0.1085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spans="2:20" x14ac:dyDescent="0.3">
      <c r="C45" s="1" t="s">
        <v>138</v>
      </c>
      <c r="D45" s="37">
        <v>3</v>
      </c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</row>
    <row r="46" spans="2:20" x14ac:dyDescent="0.3"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</row>
    <row r="47" spans="2:20" x14ac:dyDescent="0.3">
      <c r="C47" s="1" t="s">
        <v>133</v>
      </c>
      <c r="F47" s="14"/>
      <c r="G47" s="14"/>
      <c r="H47" s="14"/>
      <c r="I47" s="14"/>
      <c r="J47" s="14">
        <f>I50</f>
        <v>27101</v>
      </c>
      <c r="K47" s="14">
        <f t="shared" ref="K47:R47" si="20">J50</f>
        <v>41708.253486385998</v>
      </c>
      <c r="L47" s="14">
        <f t="shared" si="20"/>
        <v>52270.433217740116</v>
      </c>
      <c r="M47" s="14">
        <f t="shared" si="20"/>
        <v>63564.311405914828</v>
      </c>
      <c r="N47" s="14">
        <f t="shared" si="20"/>
        <v>75682.994331025737</v>
      </c>
      <c r="O47" s="14">
        <f t="shared" si="20"/>
        <v>89074.060861484948</v>
      </c>
      <c r="P47" s="14">
        <f t="shared" si="20"/>
        <v>103601.85838250908</v>
      </c>
      <c r="Q47" s="14">
        <f t="shared" si="20"/>
        <v>117836.28990900467</v>
      </c>
      <c r="R47" s="14">
        <f t="shared" si="20"/>
        <v>129606.29031926616</v>
      </c>
    </row>
    <row r="48" spans="2:20" x14ac:dyDescent="0.3">
      <c r="C48" s="1" t="s">
        <v>134</v>
      </c>
      <c r="F48" s="14"/>
      <c r="G48" s="14"/>
      <c r="H48" s="14"/>
      <c r="I48" s="14"/>
      <c r="J48" s="14">
        <f>J50-J47+J49</f>
        <v>23640.920153052662</v>
      </c>
      <c r="K48" s="14">
        <f t="shared" ref="K48:R48" si="21">K50-K47+K49</f>
        <v>24464.930893482786</v>
      </c>
      <c r="L48" s="14">
        <f t="shared" si="21"/>
        <v>28717.355927421417</v>
      </c>
      <c r="M48" s="14">
        <f t="shared" si="21"/>
        <v>33306.786727082523</v>
      </c>
      <c r="N48" s="14">
        <f t="shared" si="21"/>
        <v>38618.731307467795</v>
      </c>
      <c r="O48" s="14">
        <f t="shared" si="21"/>
        <v>44219.151141519105</v>
      </c>
      <c r="P48" s="14">
        <f t="shared" si="21"/>
        <v>48768.384320665289</v>
      </c>
      <c r="Q48" s="14">
        <f t="shared" si="21"/>
        <v>51048.763713263048</v>
      </c>
      <c r="R48" s="14">
        <f t="shared" si="21"/>
        <v>54303.070500168076</v>
      </c>
    </row>
    <row r="49" spans="2:20" x14ac:dyDescent="0.3">
      <c r="C49" s="1" t="s">
        <v>135</v>
      </c>
      <c r="F49" s="14"/>
      <c r="G49" s="14"/>
      <c r="H49" s="14"/>
      <c r="I49" s="14"/>
      <c r="J49" s="14">
        <f>J47/$D$45</f>
        <v>9033.6666666666661</v>
      </c>
      <c r="K49" s="14">
        <f t="shared" ref="K49:R49" si="22">K47/$D$45</f>
        <v>13902.751162128667</v>
      </c>
      <c r="L49" s="14">
        <f t="shared" si="22"/>
        <v>17423.477739246704</v>
      </c>
      <c r="M49" s="14">
        <f t="shared" si="22"/>
        <v>21188.103801971611</v>
      </c>
      <c r="N49" s="14">
        <f t="shared" si="22"/>
        <v>25227.66477700858</v>
      </c>
      <c r="O49" s="14">
        <f t="shared" si="22"/>
        <v>29691.353620494981</v>
      </c>
      <c r="P49" s="14">
        <f t="shared" si="22"/>
        <v>34533.952794169694</v>
      </c>
      <c r="Q49" s="14">
        <f t="shared" si="22"/>
        <v>39278.763303001557</v>
      </c>
      <c r="R49" s="14">
        <f t="shared" si="22"/>
        <v>43202.096773088721</v>
      </c>
    </row>
    <row r="50" spans="2:20" x14ac:dyDescent="0.3">
      <c r="C50" s="1" t="s">
        <v>136</v>
      </c>
      <c r="F50" s="14"/>
      <c r="G50" s="14"/>
      <c r="H50" s="14"/>
      <c r="I50" s="14">
        <f>F39</f>
        <v>27101</v>
      </c>
      <c r="J50" s="14">
        <f t="shared" ref="J50:R50" si="23">J51*J8</f>
        <v>41708.253486385998</v>
      </c>
      <c r="K50" s="14">
        <f t="shared" si="23"/>
        <v>52270.433217740116</v>
      </c>
      <c r="L50" s="14">
        <f t="shared" si="23"/>
        <v>63564.311405914828</v>
      </c>
      <c r="M50" s="14">
        <f t="shared" si="23"/>
        <v>75682.994331025737</v>
      </c>
      <c r="N50" s="14">
        <f t="shared" si="23"/>
        <v>89074.060861484948</v>
      </c>
      <c r="O50" s="14">
        <f t="shared" si="23"/>
        <v>103601.85838250908</v>
      </c>
      <c r="P50" s="14">
        <f t="shared" si="23"/>
        <v>117836.28990900467</v>
      </c>
      <c r="Q50" s="14">
        <f t="shared" si="23"/>
        <v>129606.29031926616</v>
      </c>
      <c r="R50" s="14">
        <f t="shared" si="23"/>
        <v>140707.26404634552</v>
      </c>
    </row>
    <row r="51" spans="2:20" x14ac:dyDescent="0.3">
      <c r="C51" s="1" t="s">
        <v>139</v>
      </c>
      <c r="F51" s="14"/>
      <c r="G51" s="14"/>
      <c r="H51" s="17"/>
      <c r="I51" s="17">
        <f>I50/I8</f>
        <v>0.10920979794152365</v>
      </c>
      <c r="J51" s="17">
        <f t="shared" ref="J51:Q51" si="24">I51+($R51-$I51)/COUNT($J$4:$R$4)</f>
        <v>0.10540870928135436</v>
      </c>
      <c r="K51" s="17">
        <f t="shared" si="24"/>
        <v>0.10160762062118507</v>
      </c>
      <c r="L51" s="17">
        <f t="shared" si="24"/>
        <v>9.7806531961015783E-2</v>
      </c>
      <c r="M51" s="17">
        <f t="shared" si="24"/>
        <v>9.4005443300846495E-2</v>
      </c>
      <c r="N51" s="17">
        <f t="shared" si="24"/>
        <v>9.0204354640677206E-2</v>
      </c>
      <c r="O51" s="17">
        <f t="shared" si="24"/>
        <v>8.6403265980507918E-2</v>
      </c>
      <c r="P51" s="17">
        <f t="shared" si="24"/>
        <v>8.2602177320338629E-2</v>
      </c>
      <c r="Q51" s="17">
        <f t="shared" si="24"/>
        <v>7.8801088660169341E-2</v>
      </c>
      <c r="R51" s="17">
        <v>7.4999999999999997E-2</v>
      </c>
    </row>
    <row r="52" spans="2:20" x14ac:dyDescent="0.3"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</row>
    <row r="53" spans="2:20" ht="14.5" thickBot="1" x14ac:dyDescent="0.35">
      <c r="B53" s="13"/>
      <c r="C53" s="13" t="s">
        <v>137</v>
      </c>
      <c r="D53" s="13"/>
      <c r="E53" s="13"/>
      <c r="F53" s="36"/>
      <c r="G53" s="36"/>
      <c r="H53" s="36"/>
      <c r="I53" s="36"/>
      <c r="J53" s="36">
        <f>$D$44*AVERAGE(J47,J50)</f>
        <v>3732.9020016364407</v>
      </c>
      <c r="K53" s="36">
        <f t="shared" ref="K53:R53" si="25">$D$44*AVERAGE(K47,K50)</f>
        <v>5098.3437536988413</v>
      </c>
      <c r="L53" s="36">
        <f t="shared" si="25"/>
        <v>6284.0348958332806</v>
      </c>
      <c r="M53" s="36">
        <f t="shared" si="25"/>
        <v>7554.1663362290255</v>
      </c>
      <c r="N53" s="36">
        <f t="shared" si="25"/>
        <v>8938.0702441937046</v>
      </c>
      <c r="O53" s="36">
        <f t="shared" si="25"/>
        <v>10452.668618986676</v>
      </c>
      <c r="P53" s="36">
        <f t="shared" si="25"/>
        <v>12013.019544814621</v>
      </c>
      <c r="Q53" s="36">
        <f t="shared" si="25"/>
        <v>13423.759977383694</v>
      </c>
      <c r="R53" s="36">
        <f t="shared" si="25"/>
        <v>14664.510324334435</v>
      </c>
    </row>
    <row r="54" spans="2:20" ht="14.5" thickTop="1" x14ac:dyDescent="0.3"/>
    <row r="55" spans="2:20" x14ac:dyDescent="0.3"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</row>
    <row r="56" spans="2:20" x14ac:dyDescent="0.3">
      <c r="B56" s="38" t="s">
        <v>140</v>
      </c>
      <c r="C56" s="39"/>
      <c r="D56" s="40">
        <v>4</v>
      </c>
      <c r="E56" s="41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7" spans="2:20" x14ac:dyDescent="0.3">
      <c r="B57" s="42" t="s">
        <v>141</v>
      </c>
      <c r="C57" s="43"/>
      <c r="D57" s="44">
        <v>8</v>
      </c>
      <c r="E57" s="41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</row>
    <row r="58" spans="2:20" x14ac:dyDescent="0.3">
      <c r="D58" s="41"/>
      <c r="E58" s="41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</row>
    <row r="59" spans="2:20" x14ac:dyDescent="0.3">
      <c r="B59" s="13" t="s">
        <v>142</v>
      </c>
      <c r="D59" s="41"/>
      <c r="E59" s="41"/>
      <c r="F59" s="14"/>
      <c r="G59" s="14"/>
      <c r="H59" s="14"/>
      <c r="I59" s="14"/>
      <c r="J59" s="14">
        <v>8814.5300000000007</v>
      </c>
      <c r="K59" s="14">
        <f>J78</f>
        <v>14677.476401346616</v>
      </c>
      <c r="L59" s="14">
        <f t="shared" ref="L59:R59" si="26">K78</f>
        <v>19613.908917954439</v>
      </c>
      <c r="M59" s="14">
        <f t="shared" si="26"/>
        <v>22363.996160287847</v>
      </c>
      <c r="N59" s="14">
        <f t="shared" si="26"/>
        <v>24961.312635926883</v>
      </c>
      <c r="O59" s="14">
        <f t="shared" si="26"/>
        <v>29971.332879331832</v>
      </c>
      <c r="P59" s="14">
        <f t="shared" si="26"/>
        <v>35040.401460729772</v>
      </c>
      <c r="Q59" s="14">
        <f t="shared" si="26"/>
        <v>39959.361157895946</v>
      </c>
      <c r="R59" s="14">
        <f t="shared" si="26"/>
        <v>46969.803843343259</v>
      </c>
    </row>
    <row r="60" spans="2:20" x14ac:dyDescent="0.3">
      <c r="B60" s="1" t="s">
        <v>143</v>
      </c>
      <c r="D60" s="41"/>
      <c r="E60" s="41"/>
      <c r="F60" s="14"/>
      <c r="G60" s="14"/>
      <c r="H60" s="14"/>
      <c r="I60" s="14"/>
      <c r="J60" s="14">
        <f>VLOOKUP(J6,$C$65:$D$74,2,FALSE)</f>
        <v>9496.350828103059</v>
      </c>
      <c r="K60" s="14">
        <f t="shared" ref="K60:R60" si="27">VLOOKUP(K6,$C$65:$D$74,2,FALSE)</f>
        <v>9774.2494614620864</v>
      </c>
      <c r="L60" s="14">
        <f t="shared" si="27"/>
        <v>8745.3810970976574</v>
      </c>
      <c r="M60" s="14">
        <f t="shared" si="27"/>
        <v>9748.476425570012</v>
      </c>
      <c r="N60" s="14">
        <f t="shared" si="27"/>
        <v>11271.282634596322</v>
      </c>
      <c r="O60" s="14">
        <f t="shared" si="27"/>
        <v>12837.105213068357</v>
      </c>
      <c r="P60" s="14">
        <f t="shared" si="27"/>
        <v>14388.603098296917</v>
      </c>
      <c r="Q60" s="14">
        <f t="shared" si="27"/>
        <v>18091.998698903051</v>
      </c>
      <c r="R60" s="14">
        <f t="shared" si="27"/>
        <v>18760.968539512734</v>
      </c>
    </row>
    <row r="61" spans="2:20" x14ac:dyDescent="0.3"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T61" s="1" t="s">
        <v>156</v>
      </c>
    </row>
    <row r="62" spans="2:20" x14ac:dyDescent="0.3">
      <c r="C62" s="1" t="s">
        <v>144</v>
      </c>
      <c r="F62" s="14"/>
      <c r="G62" s="14"/>
      <c r="H62" s="14"/>
      <c r="I62" s="14"/>
      <c r="J62" s="14">
        <f>$J$59/$D$56</f>
        <v>2203.6325000000002</v>
      </c>
      <c r="K62" s="14">
        <f t="shared" ref="K62:M62" si="28">$J$59/$D$56</f>
        <v>2203.6325000000002</v>
      </c>
      <c r="L62" s="14">
        <f t="shared" si="28"/>
        <v>2203.6325000000002</v>
      </c>
      <c r="M62" s="14">
        <f t="shared" si="28"/>
        <v>2203.6325000000002</v>
      </c>
      <c r="N62" s="14"/>
      <c r="O62" s="14"/>
      <c r="P62" s="14"/>
      <c r="Q62" s="14"/>
      <c r="R62" s="14"/>
    </row>
    <row r="63" spans="2:20" x14ac:dyDescent="0.3"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</row>
    <row r="64" spans="2:20" x14ac:dyDescent="0.3">
      <c r="C64" s="45" t="s">
        <v>145</v>
      </c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</row>
    <row r="65" spans="2:20" x14ac:dyDescent="0.3">
      <c r="C65" s="16">
        <v>2026</v>
      </c>
      <c r="D65" s="46">
        <v>6690</v>
      </c>
      <c r="F65" s="14"/>
      <c r="G65" s="14"/>
      <c r="H65" s="14"/>
      <c r="I65" s="14">
        <f>IF($C65=I$6,$D65/$D$57/2,$D65/$D$57)</f>
        <v>418.125</v>
      </c>
      <c r="J65" s="14">
        <f t="shared" ref="J65:P65" si="29">IF($C65=J6,$D65/$D$57/2,$D65/$D$57)</f>
        <v>836.25</v>
      </c>
      <c r="K65" s="14">
        <f t="shared" si="29"/>
        <v>836.25</v>
      </c>
      <c r="L65" s="14">
        <f t="shared" si="29"/>
        <v>836.25</v>
      </c>
      <c r="M65" s="14">
        <f t="shared" si="29"/>
        <v>836.25</v>
      </c>
      <c r="N65" s="14">
        <f t="shared" si="29"/>
        <v>836.25</v>
      </c>
      <c r="O65" s="14">
        <f t="shared" si="29"/>
        <v>836.25</v>
      </c>
      <c r="P65" s="14">
        <f t="shared" si="29"/>
        <v>836.25</v>
      </c>
      <c r="Q65" s="14">
        <f>D65-SUM(I65:P65)</f>
        <v>418.125</v>
      </c>
      <c r="R65" s="14">
        <v>0</v>
      </c>
      <c r="T65" s="32">
        <v>2.9000000000000001E-2</v>
      </c>
    </row>
    <row r="66" spans="2:20" x14ac:dyDescent="0.3">
      <c r="C66" s="16">
        <v>2027</v>
      </c>
      <c r="D66" s="47">
        <f>J8*T66</f>
        <v>9496.350828103059</v>
      </c>
      <c r="F66" s="14"/>
      <c r="G66" s="14"/>
      <c r="H66" s="14"/>
      <c r="I66" s="14"/>
      <c r="J66" s="14">
        <f t="shared" ref="J66:R66" si="30">IF($C66=J$6,$D66/$D$57/2,$D66/$D$57)</f>
        <v>593.52192675644119</v>
      </c>
      <c r="K66" s="14">
        <f t="shared" si="30"/>
        <v>1187.0438535128824</v>
      </c>
      <c r="L66" s="14">
        <f t="shared" si="30"/>
        <v>1187.0438535128824</v>
      </c>
      <c r="M66" s="14">
        <f t="shared" si="30"/>
        <v>1187.0438535128824</v>
      </c>
      <c r="N66" s="14">
        <f t="shared" si="30"/>
        <v>1187.0438535128824</v>
      </c>
      <c r="O66" s="14">
        <f t="shared" si="30"/>
        <v>1187.0438535128824</v>
      </c>
      <c r="P66" s="14">
        <f t="shared" si="30"/>
        <v>1187.0438535128824</v>
      </c>
      <c r="Q66" s="14">
        <f t="shared" si="30"/>
        <v>1187.0438535128824</v>
      </c>
      <c r="R66" s="14">
        <f t="shared" si="30"/>
        <v>1187.0438535128824</v>
      </c>
      <c r="T66" s="32">
        <v>2.4E-2</v>
      </c>
    </row>
    <row r="67" spans="2:20" x14ac:dyDescent="0.3">
      <c r="C67" s="16">
        <v>2028</v>
      </c>
      <c r="D67" s="47">
        <f>K8*T67</f>
        <v>9774.2494614620864</v>
      </c>
      <c r="F67" s="14"/>
      <c r="G67" s="14"/>
      <c r="H67" s="14"/>
      <c r="I67" s="14"/>
      <c r="J67" s="14"/>
      <c r="K67" s="14">
        <f t="shared" ref="K67:R67" si="31">IF($C67=K$6,$D67/$D$57/2,$D67/$D$57)</f>
        <v>610.8905913413804</v>
      </c>
      <c r="L67" s="14">
        <f t="shared" si="31"/>
        <v>1221.7811826827608</v>
      </c>
      <c r="M67" s="14">
        <f t="shared" si="31"/>
        <v>1221.7811826827608</v>
      </c>
      <c r="N67" s="14">
        <f t="shared" si="31"/>
        <v>1221.7811826827608</v>
      </c>
      <c r="O67" s="14">
        <f t="shared" si="31"/>
        <v>1221.7811826827608</v>
      </c>
      <c r="P67" s="14">
        <f t="shared" si="31"/>
        <v>1221.7811826827608</v>
      </c>
      <c r="Q67" s="14">
        <f t="shared" si="31"/>
        <v>1221.7811826827608</v>
      </c>
      <c r="R67" s="14">
        <f t="shared" si="31"/>
        <v>1221.7811826827608</v>
      </c>
      <c r="T67" s="32">
        <v>1.9E-2</v>
      </c>
    </row>
    <row r="68" spans="2:20" x14ac:dyDescent="0.3">
      <c r="C68" s="16">
        <v>2029</v>
      </c>
      <c r="D68" s="47">
        <f>K8*T68</f>
        <v>8745.3810970976574</v>
      </c>
      <c r="F68" s="14"/>
      <c r="G68" s="14"/>
      <c r="H68" s="14"/>
      <c r="I68" s="14"/>
      <c r="J68" s="14"/>
      <c r="K68" s="14"/>
      <c r="L68" s="14">
        <f t="shared" ref="L68:R68" si="32">IF($C68=L$6,$D68/$D$57/2,$D68/$D$57)</f>
        <v>546.58631856860359</v>
      </c>
      <c r="M68" s="14">
        <f t="shared" si="32"/>
        <v>1093.1726371372072</v>
      </c>
      <c r="N68" s="14">
        <f t="shared" si="32"/>
        <v>1093.1726371372072</v>
      </c>
      <c r="O68" s="14">
        <f t="shared" si="32"/>
        <v>1093.1726371372072</v>
      </c>
      <c r="P68" s="14">
        <f t="shared" si="32"/>
        <v>1093.1726371372072</v>
      </c>
      <c r="Q68" s="14">
        <f t="shared" si="32"/>
        <v>1093.1726371372072</v>
      </c>
      <c r="R68" s="14">
        <f t="shared" si="32"/>
        <v>1093.1726371372072</v>
      </c>
      <c r="T68" s="32">
        <v>1.7000000000000001E-2</v>
      </c>
    </row>
    <row r="69" spans="2:20" x14ac:dyDescent="0.3">
      <c r="C69" s="16">
        <v>2030</v>
      </c>
      <c r="D69" s="47">
        <f>L8*T69</f>
        <v>9748.476425570012</v>
      </c>
      <c r="F69" s="14"/>
      <c r="G69" s="14"/>
      <c r="H69" s="14"/>
      <c r="I69" s="14"/>
      <c r="J69" s="14"/>
      <c r="K69" s="14"/>
      <c r="L69" s="14"/>
      <c r="M69" s="14">
        <f t="shared" ref="M69:R69" si="33">IF($C69=M$6,$D69/$D$57/2,$D69/$D$57)</f>
        <v>609.27977659812575</v>
      </c>
      <c r="N69" s="14">
        <f t="shared" si="33"/>
        <v>1218.5595531962515</v>
      </c>
      <c r="O69" s="14">
        <f t="shared" si="33"/>
        <v>1218.5595531962515</v>
      </c>
      <c r="P69" s="14">
        <f t="shared" si="33"/>
        <v>1218.5595531962515</v>
      </c>
      <c r="Q69" s="14">
        <f t="shared" si="33"/>
        <v>1218.5595531962515</v>
      </c>
      <c r="R69" s="14">
        <f t="shared" si="33"/>
        <v>1218.5595531962515</v>
      </c>
      <c r="T69" s="32">
        <v>1.4999999999999999E-2</v>
      </c>
    </row>
    <row r="70" spans="2:20" x14ac:dyDescent="0.3">
      <c r="C70" s="16">
        <v>2031</v>
      </c>
      <c r="D70" s="47">
        <f>M8*T70</f>
        <v>11271.282634596322</v>
      </c>
      <c r="F70" s="14"/>
      <c r="G70" s="14"/>
      <c r="H70" s="14"/>
      <c r="I70" s="14"/>
      <c r="J70" s="14"/>
      <c r="K70" s="14"/>
      <c r="L70" s="14"/>
      <c r="M70" s="14"/>
      <c r="N70" s="14">
        <f>IF($C70=N$6,$D70/$D$57/2,$D70/$D$57)</f>
        <v>704.45516466227014</v>
      </c>
      <c r="O70" s="14">
        <f>IF($C70=O$6,$D70/$D$57/2,$D70/$D$57)</f>
        <v>1408.9103293245403</v>
      </c>
      <c r="P70" s="14">
        <f>IF($C70=P$6,$D70/$D$57/2,$D70/$D$57)</f>
        <v>1408.9103293245403</v>
      </c>
      <c r="Q70" s="14">
        <f>IF($C70=Q$6,$D70/$D$57/2,$D70/$D$57)</f>
        <v>1408.9103293245403</v>
      </c>
      <c r="R70" s="14">
        <f>IF($C70=R$6,$D70/$D$57/2,$D70/$D$57)</f>
        <v>1408.9103293245403</v>
      </c>
      <c r="T70" s="32">
        <v>1.4E-2</v>
      </c>
    </row>
    <row r="71" spans="2:20" x14ac:dyDescent="0.3">
      <c r="C71" s="16">
        <v>2032</v>
      </c>
      <c r="D71" s="47">
        <f>T71*N8</f>
        <v>12837.105213068357</v>
      </c>
      <c r="F71" s="14"/>
      <c r="G71" s="14"/>
      <c r="H71" s="14"/>
      <c r="I71" s="14"/>
      <c r="J71" s="14"/>
      <c r="K71" s="14"/>
      <c r="L71" s="14"/>
      <c r="M71" s="14"/>
      <c r="N71" s="14"/>
      <c r="O71" s="14">
        <f>IF($C71=O$6,$D71/$D$57/2,$D71/$D$57)</f>
        <v>802.31907581677228</v>
      </c>
      <c r="P71" s="14">
        <f>IF($C71=P$6,$D71/$D$57/2,$D71/$D$57)</f>
        <v>1604.6381516335446</v>
      </c>
      <c r="Q71" s="14">
        <f>IF($C71=Q$6,$D71/$D$57/2,$D71/$D$57)</f>
        <v>1604.6381516335446</v>
      </c>
      <c r="R71" s="14">
        <f>IF($C71=R$6,$D71/$D$57/2,$D71/$D$57)</f>
        <v>1604.6381516335446</v>
      </c>
      <c r="T71" s="32">
        <v>1.2999999999999999E-2</v>
      </c>
    </row>
    <row r="72" spans="2:20" x14ac:dyDescent="0.3">
      <c r="C72" s="16">
        <v>2033</v>
      </c>
      <c r="D72" s="47">
        <f>T72*O8</f>
        <v>14388.603098296917</v>
      </c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>
        <f>IF($C72=P$6,$D72/$D$57/2,$D72/$D$57)</f>
        <v>899.2876936435573</v>
      </c>
      <c r="Q72" s="14">
        <f>IF($C72=Q$6,$D72/$D$57/2,$D72/$D$57)</f>
        <v>1798.5753872871146</v>
      </c>
      <c r="R72" s="14">
        <f>IF($C72=R$6,$D72/$D$57/2,$D72/$D$57)</f>
        <v>1798.5753872871146</v>
      </c>
      <c r="T72" s="32">
        <v>1.2E-2</v>
      </c>
    </row>
    <row r="73" spans="2:20" x14ac:dyDescent="0.3">
      <c r="C73" s="16">
        <v>2034</v>
      </c>
      <c r="D73" s="47">
        <f>T73*Q8</f>
        <v>18091.998698903051</v>
      </c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>
        <f>IF($C73=Q$6,$D73/$D$57/2,$D73/$D$57)</f>
        <v>1130.7499186814407</v>
      </c>
      <c r="R73" s="14">
        <f>IF($C73=R$6,$D73/$D$57/2,$D73/$D$57)</f>
        <v>2261.4998373628814</v>
      </c>
      <c r="T73" s="32">
        <v>1.0999999999999999E-2</v>
      </c>
    </row>
    <row r="74" spans="2:20" x14ac:dyDescent="0.3">
      <c r="C74" s="16">
        <v>2035</v>
      </c>
      <c r="D74" s="47">
        <f>R8*T74</f>
        <v>18760.968539512734</v>
      </c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>
        <f>IF($C74=R$6,$D74/$D$57/2,$D74/$D$57)</f>
        <v>1172.5605337195459</v>
      </c>
      <c r="T74" s="32">
        <v>0.01</v>
      </c>
    </row>
    <row r="75" spans="2:20" x14ac:dyDescent="0.3">
      <c r="D75" s="39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</row>
    <row r="76" spans="2:20" x14ac:dyDescent="0.3">
      <c r="B76" s="13"/>
      <c r="C76" s="13" t="s">
        <v>161</v>
      </c>
      <c r="D76" s="13"/>
      <c r="E76" s="13"/>
      <c r="F76" s="21"/>
      <c r="G76" s="21"/>
      <c r="H76" s="21"/>
      <c r="I76" s="21"/>
      <c r="J76" s="21">
        <f>SUM(J62,J65:J74)</f>
        <v>3633.4044267564414</v>
      </c>
      <c r="K76" s="21">
        <f t="shared" ref="K76:R76" si="34">SUM(K62,K65:K74)</f>
        <v>4837.8169448542631</v>
      </c>
      <c r="L76" s="21">
        <f t="shared" si="34"/>
        <v>5995.293854764248</v>
      </c>
      <c r="M76" s="21">
        <f t="shared" si="34"/>
        <v>7151.1599499309768</v>
      </c>
      <c r="N76" s="21">
        <f t="shared" si="34"/>
        <v>6261.2623911913724</v>
      </c>
      <c r="O76" s="21">
        <f t="shared" si="34"/>
        <v>7768.036631670414</v>
      </c>
      <c r="P76" s="21">
        <f t="shared" si="34"/>
        <v>9469.6434011307429</v>
      </c>
      <c r="Q76" s="21">
        <f t="shared" si="34"/>
        <v>11081.55601345574</v>
      </c>
      <c r="R76" s="21">
        <f t="shared" si="34"/>
        <v>12966.741465856727</v>
      </c>
    </row>
    <row r="77" spans="2:20" x14ac:dyDescent="0.3">
      <c r="B77" s="13"/>
      <c r="C77" s="13"/>
      <c r="D77" s="13"/>
      <c r="E77" s="13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</row>
    <row r="78" spans="2:20" x14ac:dyDescent="0.3">
      <c r="B78" s="13" t="s">
        <v>146</v>
      </c>
      <c r="C78" s="13"/>
      <c r="D78" s="13"/>
      <c r="E78" s="13"/>
      <c r="F78" s="31"/>
      <c r="G78" s="31"/>
      <c r="H78" s="31"/>
      <c r="I78" s="31"/>
      <c r="J78" s="31">
        <f>J59+J60-J76</f>
        <v>14677.476401346616</v>
      </c>
      <c r="K78" s="31">
        <f t="shared" ref="K78:R78" si="35">K59+K60-K76</f>
        <v>19613.908917954439</v>
      </c>
      <c r="L78" s="31">
        <f t="shared" si="35"/>
        <v>22363.996160287847</v>
      </c>
      <c r="M78" s="31">
        <f t="shared" si="35"/>
        <v>24961.312635926883</v>
      </c>
      <c r="N78" s="31">
        <f t="shared" si="35"/>
        <v>29971.332879331832</v>
      </c>
      <c r="O78" s="31">
        <f t="shared" si="35"/>
        <v>35040.401460729772</v>
      </c>
      <c r="P78" s="31">
        <f t="shared" si="35"/>
        <v>39959.361157895946</v>
      </c>
      <c r="Q78" s="31">
        <f t="shared" si="35"/>
        <v>46969.803843343259</v>
      </c>
      <c r="R78" s="31">
        <f t="shared" si="35"/>
        <v>52764.030916999269</v>
      </c>
    </row>
    <row r="79" spans="2:20" x14ac:dyDescent="0.3"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</row>
    <row r="80" spans="2:20" x14ac:dyDescent="0.3">
      <c r="C80" s="1" t="s">
        <v>147</v>
      </c>
      <c r="F80" s="14"/>
      <c r="G80" s="14"/>
      <c r="H80" s="14"/>
      <c r="I80" s="14"/>
      <c r="J80" s="14">
        <f>I83</f>
        <v>25062</v>
      </c>
      <c r="K80" s="14">
        <f t="shared" ref="K80:R80" si="36">J83</f>
        <v>39205.758277202833</v>
      </c>
      <c r="L80" s="14">
        <f t="shared" si="36"/>
        <v>49134.207224675709</v>
      </c>
      <c r="M80" s="14">
        <f t="shared" si="36"/>
        <v>59750.452721559937</v>
      </c>
      <c r="N80" s="14">
        <f t="shared" si="36"/>
        <v>71142.014671164186</v>
      </c>
      <c r="O80" s="14">
        <f t="shared" si="36"/>
        <v>83729.617209795848</v>
      </c>
      <c r="P80" s="14">
        <f t="shared" si="36"/>
        <v>97385.74687955853</v>
      </c>
      <c r="Q80" s="14">
        <f t="shared" si="36"/>
        <v>110766.11251446439</v>
      </c>
      <c r="R80" s="14">
        <f t="shared" si="36"/>
        <v>121829.91290011018</v>
      </c>
    </row>
    <row r="81" spans="2:18" x14ac:dyDescent="0.3">
      <c r="B81" s="13"/>
      <c r="C81" s="1" t="s">
        <v>148</v>
      </c>
      <c r="F81" s="14"/>
      <c r="G81" s="14"/>
      <c r="H81" s="14"/>
      <c r="I81" s="14"/>
      <c r="J81" s="14">
        <f>J48</f>
        <v>23640.920153052662</v>
      </c>
      <c r="K81" s="14">
        <f t="shared" ref="K81:R81" si="37">K48</f>
        <v>24464.930893482786</v>
      </c>
      <c r="L81" s="14">
        <f t="shared" si="37"/>
        <v>28717.355927421417</v>
      </c>
      <c r="M81" s="14">
        <f t="shared" si="37"/>
        <v>33306.786727082523</v>
      </c>
      <c r="N81" s="14">
        <f t="shared" si="37"/>
        <v>38618.731307467795</v>
      </c>
      <c r="O81" s="14">
        <f t="shared" si="37"/>
        <v>44219.151141519105</v>
      </c>
      <c r="P81" s="14">
        <f t="shared" si="37"/>
        <v>48768.384320665289</v>
      </c>
      <c r="Q81" s="14">
        <f t="shared" si="37"/>
        <v>51048.763713263048</v>
      </c>
      <c r="R81" s="14">
        <f t="shared" si="37"/>
        <v>54303.070500168076</v>
      </c>
    </row>
    <row r="82" spans="2:18" x14ac:dyDescent="0.3">
      <c r="B82" s="13"/>
      <c r="C82" s="1" t="s">
        <v>149</v>
      </c>
      <c r="F82" s="14"/>
      <c r="G82" s="14"/>
      <c r="H82" s="14"/>
      <c r="I82" s="14"/>
      <c r="J82" s="14">
        <f>J80+J81-J83</f>
        <v>9497.1618758498298</v>
      </c>
      <c r="K82" s="14">
        <f t="shared" ref="K82:R82" si="38">K80+K81-K83</f>
        <v>14536.48194600991</v>
      </c>
      <c r="L82" s="14">
        <f t="shared" si="38"/>
        <v>18101.110430537185</v>
      </c>
      <c r="M82" s="14">
        <f t="shared" si="38"/>
        <v>21915.224777478274</v>
      </c>
      <c r="N82" s="14">
        <f t="shared" si="38"/>
        <v>26031.128768836134</v>
      </c>
      <c r="O82" s="14">
        <f t="shared" si="38"/>
        <v>30563.021471756423</v>
      </c>
      <c r="P82" s="14">
        <f t="shared" si="38"/>
        <v>35388.018685759424</v>
      </c>
      <c r="Q82" s="14">
        <f t="shared" si="38"/>
        <v>39984.963327617268</v>
      </c>
      <c r="R82" s="14">
        <f t="shared" si="38"/>
        <v>43868.155196713487</v>
      </c>
    </row>
    <row r="83" spans="2:18" x14ac:dyDescent="0.3">
      <c r="B83" s="13"/>
      <c r="C83" s="13" t="s">
        <v>150</v>
      </c>
      <c r="D83" s="13"/>
      <c r="E83" s="13"/>
      <c r="F83" s="31"/>
      <c r="G83" s="31"/>
      <c r="H83" s="31"/>
      <c r="I83" s="31">
        <f>F38</f>
        <v>25062</v>
      </c>
      <c r="J83" s="31">
        <f>J50*0.94</f>
        <v>39205.758277202833</v>
      </c>
      <c r="K83" s="31">
        <f t="shared" ref="K83:R83" si="39">K50*0.94</f>
        <v>49134.207224675709</v>
      </c>
      <c r="L83" s="31">
        <f t="shared" si="39"/>
        <v>59750.452721559937</v>
      </c>
      <c r="M83" s="31">
        <f t="shared" si="39"/>
        <v>71142.014671164186</v>
      </c>
      <c r="N83" s="31">
        <f t="shared" si="39"/>
        <v>83729.617209795848</v>
      </c>
      <c r="O83" s="31">
        <f t="shared" si="39"/>
        <v>97385.74687955853</v>
      </c>
      <c r="P83" s="31">
        <f t="shared" si="39"/>
        <v>110766.11251446439</v>
      </c>
      <c r="Q83" s="31">
        <f t="shared" si="39"/>
        <v>121829.91290011018</v>
      </c>
      <c r="R83" s="31">
        <f t="shared" si="39"/>
        <v>132264.82820356477</v>
      </c>
    </row>
    <row r="84" spans="2:18" x14ac:dyDescent="0.3"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</row>
    <row r="85" spans="2:18" x14ac:dyDescent="0.3">
      <c r="B85" s="38" t="s">
        <v>151</v>
      </c>
      <c r="C85" s="39"/>
      <c r="D85" s="40">
        <v>3.5</v>
      </c>
      <c r="E85" s="41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</row>
    <row r="86" spans="2:18" x14ac:dyDescent="0.3">
      <c r="B86" s="39"/>
      <c r="C86" s="39"/>
      <c r="D86" s="39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2:18" x14ac:dyDescent="0.3">
      <c r="C87" s="1" t="s">
        <v>152</v>
      </c>
      <c r="F87" s="14"/>
      <c r="G87" s="14"/>
      <c r="H87" s="14"/>
      <c r="I87" s="14"/>
      <c r="J87" s="14">
        <v>1976.15</v>
      </c>
      <c r="K87" s="14">
        <f>J89</f>
        <v>1411.5357142857142</v>
      </c>
      <c r="L87" s="14">
        <f t="shared" ref="L87:R87" si="40">K89</f>
        <v>846.92142857142846</v>
      </c>
      <c r="M87" s="14">
        <f t="shared" si="40"/>
        <v>282.30714285714271</v>
      </c>
      <c r="N87" s="14">
        <f t="shared" si="40"/>
        <v>0</v>
      </c>
      <c r="O87" s="14">
        <f t="shared" si="40"/>
        <v>0</v>
      </c>
      <c r="P87" s="14">
        <f t="shared" si="40"/>
        <v>0</v>
      </c>
      <c r="Q87" s="14">
        <f t="shared" si="40"/>
        <v>0</v>
      </c>
      <c r="R87" s="14">
        <f t="shared" si="40"/>
        <v>0</v>
      </c>
    </row>
    <row r="88" spans="2:18" x14ac:dyDescent="0.3">
      <c r="C88" s="1" t="s">
        <v>153</v>
      </c>
      <c r="F88" s="14"/>
      <c r="G88" s="14"/>
      <c r="H88" s="14"/>
      <c r="I88" s="14"/>
      <c r="J88" s="14">
        <f t="shared" ref="J88:R88" si="41">MIN($J87/$D$85,J87)</f>
        <v>564.61428571428576</v>
      </c>
      <c r="K88" s="14">
        <f t="shared" si="41"/>
        <v>564.61428571428576</v>
      </c>
      <c r="L88" s="14">
        <f t="shared" si="41"/>
        <v>564.61428571428576</v>
      </c>
      <c r="M88" s="14">
        <f t="shared" si="41"/>
        <v>282.30714285714271</v>
      </c>
      <c r="N88" s="14">
        <f t="shared" si="41"/>
        <v>0</v>
      </c>
      <c r="O88" s="14">
        <f t="shared" si="41"/>
        <v>0</v>
      </c>
      <c r="P88" s="14">
        <f t="shared" si="41"/>
        <v>0</v>
      </c>
      <c r="Q88" s="14">
        <f t="shared" si="41"/>
        <v>0</v>
      </c>
      <c r="R88" s="14">
        <f t="shared" si="41"/>
        <v>0</v>
      </c>
    </row>
    <row r="89" spans="2:18" x14ac:dyDescent="0.3">
      <c r="B89" s="13"/>
      <c r="C89" s="13" t="s">
        <v>154</v>
      </c>
      <c r="D89" s="13"/>
      <c r="E89" s="13"/>
      <c r="F89" s="31"/>
      <c r="G89" s="31"/>
      <c r="H89" s="31"/>
      <c r="I89" s="31"/>
      <c r="J89" s="31">
        <f>J87-J88</f>
        <v>1411.5357142857142</v>
      </c>
      <c r="K89" s="31">
        <f t="shared" ref="K89:P89" si="42">K87-K88</f>
        <v>846.92142857142846</v>
      </c>
      <c r="L89" s="31">
        <f t="shared" si="42"/>
        <v>282.30714285714271</v>
      </c>
      <c r="M89" s="31">
        <f t="shared" si="42"/>
        <v>0</v>
      </c>
      <c r="N89" s="31">
        <f t="shared" si="42"/>
        <v>0</v>
      </c>
      <c r="O89" s="31">
        <f t="shared" si="42"/>
        <v>0</v>
      </c>
      <c r="P89" s="31">
        <f t="shared" si="42"/>
        <v>0</v>
      </c>
      <c r="Q89" s="31">
        <f t="shared" ref="Q89" si="43">Q87-Q88</f>
        <v>0</v>
      </c>
      <c r="R89" s="31">
        <f t="shared" ref="R89" si="44">R87-R88</f>
        <v>0</v>
      </c>
    </row>
    <row r="90" spans="2:18" x14ac:dyDescent="0.3"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</row>
    <row r="91" spans="2:18" ht="14.5" thickBot="1" x14ac:dyDescent="0.35">
      <c r="B91" s="13"/>
      <c r="C91" s="13" t="s">
        <v>155</v>
      </c>
      <c r="D91" s="13"/>
      <c r="E91" s="13"/>
      <c r="F91" s="36"/>
      <c r="G91" s="36"/>
      <c r="H91" s="36"/>
      <c r="I91" s="36"/>
      <c r="J91" s="36">
        <f>J88+J82+J76</f>
        <v>13695.180588320556</v>
      </c>
      <c r="K91" s="36">
        <f t="shared" ref="K91:R91" si="45">K88+K82+K76</f>
        <v>19938.913176578459</v>
      </c>
      <c r="L91" s="36">
        <f t="shared" si="45"/>
        <v>24661.018571015717</v>
      </c>
      <c r="M91" s="36">
        <f t="shared" si="45"/>
        <v>29348.691870266393</v>
      </c>
      <c r="N91" s="36">
        <f t="shared" si="45"/>
        <v>32292.391160027506</v>
      </c>
      <c r="O91" s="36">
        <f t="shared" si="45"/>
        <v>38331.05810342684</v>
      </c>
      <c r="P91" s="36">
        <f t="shared" si="45"/>
        <v>44857.662086890166</v>
      </c>
      <c r="Q91" s="36">
        <f t="shared" si="45"/>
        <v>51066.519341073006</v>
      </c>
      <c r="R91" s="36">
        <f t="shared" si="45"/>
        <v>56834.896662570216</v>
      </c>
    </row>
    <row r="92" spans="2:18" ht="14.5" thickTop="1" x14ac:dyDescent="0.3"/>
    <row r="93" spans="2:18" x14ac:dyDescent="0.3">
      <c r="B93" s="1" t="s">
        <v>163</v>
      </c>
      <c r="G93" s="1">
        <v>-800.09</v>
      </c>
      <c r="H93" s="1">
        <v>-2873.03</v>
      </c>
      <c r="I93" s="1">
        <v>10044.040000000001</v>
      </c>
      <c r="J93" s="49">
        <f>J94*J15</f>
        <v>12505.350609827583</v>
      </c>
      <c r="K93" s="49">
        <f t="shared" ref="K93:R93" si="46">K94*K15</f>
        <v>11596.856549406208</v>
      </c>
      <c r="L93" s="49">
        <f t="shared" si="46"/>
        <v>8637.0154989435305</v>
      </c>
      <c r="M93" s="49">
        <f t="shared" si="46"/>
        <v>3095.7198457880922</v>
      </c>
      <c r="N93" s="49">
        <f t="shared" si="46"/>
        <v>-5718.3496323527761</v>
      </c>
      <c r="O93" s="49">
        <f t="shared" si="46"/>
        <v>-18727.335395317681</v>
      </c>
      <c r="P93" s="49">
        <f t="shared" si="46"/>
        <v>-36573.236948536534</v>
      </c>
      <c r="Q93" s="49">
        <f t="shared" si="46"/>
        <v>-58960.208882625768</v>
      </c>
      <c r="R93" s="49">
        <f t="shared" si="46"/>
        <v>-86769.479495246414</v>
      </c>
    </row>
    <row r="94" spans="2:18" x14ac:dyDescent="0.3">
      <c r="C94" s="1" t="s">
        <v>246</v>
      </c>
      <c r="G94" s="29"/>
      <c r="H94" s="29"/>
      <c r="I94" s="17">
        <f>I93/I15</f>
        <v>4.7856432037990726E-2</v>
      </c>
      <c r="J94" s="17">
        <f>I94+($R94-$I94)/COUNT($J$4:$R$4)</f>
        <v>3.6983495144880647E-2</v>
      </c>
      <c r="K94" s="17">
        <f t="shared" ref="K94:Q94" si="47">J94+($R94-$I94)/COUNT($J$4:$R$4)</f>
        <v>2.6110558251770569E-2</v>
      </c>
      <c r="L94" s="17">
        <f t="shared" si="47"/>
        <v>1.5237621358660488E-2</v>
      </c>
      <c r="M94" s="17">
        <f t="shared" si="47"/>
        <v>4.3646844655504079E-3</v>
      </c>
      <c r="N94" s="17">
        <f t="shared" si="47"/>
        <v>-6.5082524275596725E-3</v>
      </c>
      <c r="O94" s="17">
        <f t="shared" si="47"/>
        <v>-1.7381189320669753E-2</v>
      </c>
      <c r="P94" s="17">
        <f t="shared" si="47"/>
        <v>-2.8254126213779832E-2</v>
      </c>
      <c r="Q94" s="17">
        <f t="shared" si="47"/>
        <v>-3.912706310688991E-2</v>
      </c>
      <c r="R94" s="48">
        <v>-0.05</v>
      </c>
    </row>
    <row r="95" spans="2:18" x14ac:dyDescent="0.3">
      <c r="B95" s="13" t="s">
        <v>166</v>
      </c>
    </row>
    <row r="96" spans="2:18" x14ac:dyDescent="0.3">
      <c r="B96" s="51" t="s">
        <v>164</v>
      </c>
      <c r="C96" s="52"/>
      <c r="D96" s="53"/>
      <c r="E96" s="53"/>
      <c r="F96" s="53" t="s">
        <v>165</v>
      </c>
      <c r="G96" s="53"/>
      <c r="H96" s="53"/>
      <c r="I96" s="54"/>
    </row>
    <row r="97" spans="2:16" x14ac:dyDescent="0.3">
      <c r="B97" s="55" t="s">
        <v>166</v>
      </c>
      <c r="C97" s="39"/>
      <c r="D97" s="39"/>
      <c r="G97" s="56"/>
      <c r="H97" s="32"/>
      <c r="I97" s="57"/>
      <c r="J97" s="32"/>
      <c r="K97" s="32"/>
      <c r="L97" s="32"/>
      <c r="M97" s="32"/>
      <c r="N97" s="32"/>
      <c r="O97" s="32"/>
      <c r="P97" s="32"/>
    </row>
    <row r="98" spans="2:16" x14ac:dyDescent="0.3">
      <c r="B98" s="58" t="s">
        <v>167</v>
      </c>
      <c r="G98" s="17">
        <v>0.06</v>
      </c>
      <c r="I98" s="59"/>
    </row>
    <row r="99" spans="2:16" x14ac:dyDescent="0.3">
      <c r="B99" s="58" t="s">
        <v>168</v>
      </c>
      <c r="G99" s="14"/>
      <c r="I99" s="59"/>
    </row>
    <row r="100" spans="2:16" x14ac:dyDescent="0.3">
      <c r="B100" s="42" t="s">
        <v>169</v>
      </c>
      <c r="C100" s="43"/>
      <c r="D100" s="43"/>
      <c r="E100" s="43"/>
      <c r="F100" s="43"/>
      <c r="G100" s="60"/>
      <c r="H100" s="43"/>
      <c r="I100" s="61"/>
    </row>
    <row r="102" spans="2:16" x14ac:dyDescent="0.3">
      <c r="B102" s="52"/>
      <c r="C102" s="52"/>
      <c r="D102" s="52"/>
      <c r="E102" s="52"/>
      <c r="F102" s="52" t="s">
        <v>179</v>
      </c>
      <c r="G102" s="52" t="s">
        <v>180</v>
      </c>
      <c r="H102" s="52" t="s">
        <v>181</v>
      </c>
      <c r="I102" s="67" t="s">
        <v>182</v>
      </c>
      <c r="J102" s="67" t="s">
        <v>183</v>
      </c>
      <c r="K102" s="13" t="s">
        <v>184</v>
      </c>
    </row>
    <row r="103" spans="2:16" x14ac:dyDescent="0.3">
      <c r="C103" s="1" t="s">
        <v>172</v>
      </c>
      <c r="F103" s="1">
        <v>1.21</v>
      </c>
      <c r="G103" s="48">
        <v>0.73</v>
      </c>
      <c r="H103" s="1">
        <v>0.04</v>
      </c>
      <c r="I103" s="32">
        <v>0.25168000000000001</v>
      </c>
      <c r="J103" s="66">
        <f>F103/(1+H103*(1-I103))</f>
        <v>1.174833930912774</v>
      </c>
      <c r="K103" s="66">
        <f>J103*G103</f>
        <v>0.85762876956632494</v>
      </c>
    </row>
    <row r="104" spans="2:16" x14ac:dyDescent="0.3">
      <c r="C104" s="1" t="s">
        <v>173</v>
      </c>
      <c r="F104" s="1">
        <v>1.1200000000000001</v>
      </c>
      <c r="G104" s="48">
        <v>0.2</v>
      </c>
      <c r="H104" s="1">
        <v>0.04</v>
      </c>
      <c r="I104" s="32">
        <v>0.25168000000000001</v>
      </c>
      <c r="J104" s="66">
        <f t="shared" ref="J104:J109" si="48">F104/(1+H104*(1-I104))</f>
        <v>1.0874495889440554</v>
      </c>
      <c r="K104" s="66">
        <f t="shared" ref="K104:K109" si="49">J104*G104</f>
        <v>0.2174899177888111</v>
      </c>
    </row>
    <row r="105" spans="2:16" x14ac:dyDescent="0.3">
      <c r="C105" s="1" t="s">
        <v>174</v>
      </c>
      <c r="F105" s="1">
        <v>1.41</v>
      </c>
      <c r="G105" s="48">
        <v>0.18</v>
      </c>
      <c r="H105" s="1">
        <v>0.16</v>
      </c>
      <c r="I105" s="32">
        <v>0.25600000000000001</v>
      </c>
      <c r="J105" s="66">
        <f t="shared" si="48"/>
        <v>1.2600085787818129</v>
      </c>
      <c r="K105" s="66">
        <f t="shared" si="49"/>
        <v>0.22680154418072632</v>
      </c>
    </row>
    <row r="106" spans="2:16" x14ac:dyDescent="0.3">
      <c r="C106" s="1" t="s">
        <v>175</v>
      </c>
      <c r="F106" s="1">
        <v>1.58</v>
      </c>
      <c r="G106" s="48">
        <v>0.3</v>
      </c>
      <c r="H106" s="1">
        <v>0.35</v>
      </c>
      <c r="I106" s="32">
        <v>0.25</v>
      </c>
      <c r="J106" s="66">
        <f t="shared" si="48"/>
        <v>1.2514851485148515</v>
      </c>
      <c r="K106" s="66">
        <f t="shared" si="49"/>
        <v>0.37544554455445545</v>
      </c>
    </row>
    <row r="107" spans="2:16" x14ac:dyDescent="0.3">
      <c r="C107" s="1" t="s">
        <v>176</v>
      </c>
      <c r="F107" s="1">
        <v>0.95</v>
      </c>
      <c r="G107" s="48">
        <v>1</v>
      </c>
      <c r="H107" s="1">
        <v>0.03</v>
      </c>
      <c r="I107" s="32">
        <v>0.25600000000000001</v>
      </c>
      <c r="J107" s="66">
        <f t="shared" si="48"/>
        <v>0.92925894044917445</v>
      </c>
      <c r="K107" s="66">
        <f t="shared" si="49"/>
        <v>0.92925894044917445</v>
      </c>
    </row>
    <row r="108" spans="2:16" x14ac:dyDescent="0.3">
      <c r="C108" s="1" t="s">
        <v>177</v>
      </c>
      <c r="F108" s="1">
        <v>1.06</v>
      </c>
      <c r="G108" s="48">
        <v>0.12</v>
      </c>
      <c r="H108" s="1">
        <v>1.08</v>
      </c>
      <c r="I108" s="32">
        <v>0.25</v>
      </c>
      <c r="J108" s="66">
        <f t="shared" si="48"/>
        <v>0.58563535911602216</v>
      </c>
      <c r="K108" s="66">
        <f t="shared" si="49"/>
        <v>7.027624309392265E-2</v>
      </c>
    </row>
    <row r="109" spans="2:16" x14ac:dyDescent="0.3">
      <c r="C109" s="1" t="s">
        <v>178</v>
      </c>
      <c r="F109" s="1">
        <v>1.19</v>
      </c>
      <c r="G109" s="48">
        <v>0.37</v>
      </c>
      <c r="H109" s="66">
        <v>0.19800000000000001</v>
      </c>
      <c r="I109" s="32">
        <v>0.17</v>
      </c>
      <c r="J109" s="66">
        <f t="shared" si="48"/>
        <v>1.0220382362540152</v>
      </c>
      <c r="K109" s="66">
        <f t="shared" si="49"/>
        <v>0.37815414741398562</v>
      </c>
    </row>
    <row r="110" spans="2:16" x14ac:dyDescent="0.3">
      <c r="G110" s="48">
        <f>SUM(G103:G109)</f>
        <v>2.9000000000000004</v>
      </c>
      <c r="K110" s="66">
        <f>SUM(K103:K109)</f>
        <v>3.0550551070474006</v>
      </c>
    </row>
    <row r="112" spans="2:16" x14ac:dyDescent="0.3">
      <c r="C112" s="1" t="s">
        <v>185</v>
      </c>
      <c r="F112" s="66">
        <f>J112*(1+H112*(1-I112))</f>
        <v>1.2584332430520293</v>
      </c>
      <c r="H112" s="1">
        <v>0.26</v>
      </c>
      <c r="I112" s="32">
        <v>0.25168000000000001</v>
      </c>
      <c r="J112" s="66">
        <f>K110/G110</f>
        <v>1.053467278292207</v>
      </c>
    </row>
    <row r="114" spans="2:18" x14ac:dyDescent="0.3">
      <c r="C114" s="1" t="s">
        <v>228</v>
      </c>
      <c r="H114" s="1">
        <v>4928.07</v>
      </c>
      <c r="I114" s="1">
        <v>5047.9399999999996</v>
      </c>
      <c r="J114" s="1">
        <f>I114*1.1</f>
        <v>5552.7340000000004</v>
      </c>
      <c r="K114" s="1">
        <f t="shared" ref="K114:R114" si="50">J114*1.1</f>
        <v>6108.0074000000013</v>
      </c>
      <c r="L114" s="1">
        <f t="shared" si="50"/>
        <v>6718.8081400000019</v>
      </c>
      <c r="M114" s="1">
        <f t="shared" si="50"/>
        <v>7390.6889540000029</v>
      </c>
      <c r="N114" s="1">
        <f t="shared" si="50"/>
        <v>8129.7578494000036</v>
      </c>
      <c r="O114" s="1">
        <f t="shared" si="50"/>
        <v>8942.7336343400038</v>
      </c>
      <c r="P114" s="1">
        <f t="shared" si="50"/>
        <v>9837.0069977740059</v>
      </c>
      <c r="Q114" s="1">
        <f t="shared" si="50"/>
        <v>10820.707697551406</v>
      </c>
      <c r="R114" s="1">
        <f t="shared" si="50"/>
        <v>11902.778467306549</v>
      </c>
    </row>
    <row r="116" spans="2:18" x14ac:dyDescent="0.3">
      <c r="B116" s="34" t="s">
        <v>229</v>
      </c>
      <c r="C116" s="85"/>
      <c r="D116" s="86">
        <v>0.25168000000000001</v>
      </c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</row>
    <row r="117" spans="2:18" x14ac:dyDescent="0.3"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</row>
    <row r="118" spans="2:18" x14ac:dyDescent="0.3">
      <c r="C118" s="13" t="s">
        <v>230</v>
      </c>
      <c r="F118" s="14"/>
      <c r="G118" s="14"/>
      <c r="H118" s="14"/>
      <c r="I118" s="14"/>
      <c r="J118" s="14">
        <f>'Income Statement'!F23</f>
        <v>-60554.922343798477</v>
      </c>
      <c r="K118" s="14">
        <f>'Income Statement'!G23</f>
        <v>-47662.814832916694</v>
      </c>
      <c r="L118" s="14">
        <f>'Income Statement'!H23</f>
        <v>-29402.128758632163</v>
      </c>
      <c r="M118" s="14">
        <f>'Income Statement'!I23</f>
        <v>-15277.593477486838</v>
      </c>
      <c r="N118" s="14">
        <f>'Income Statement'!J23</f>
        <v>-1856.1182364190299</v>
      </c>
      <c r="O118" s="14">
        <f>'Income Statement'!K23</f>
        <v>12483.129390115084</v>
      </c>
      <c r="P118" s="14">
        <f>'Income Statement'!L23</f>
        <v>30238.706115176166</v>
      </c>
      <c r="Q118" s="14">
        <f>'Income Statement'!M23</f>
        <v>50813.610091061288</v>
      </c>
      <c r="R118" s="14">
        <f>'Income Statement'!N23</f>
        <v>75666.030790905468</v>
      </c>
    </row>
    <row r="119" spans="2:18" x14ac:dyDescent="0.3">
      <c r="C119" s="1" t="s">
        <v>231</v>
      </c>
      <c r="F119" s="14"/>
      <c r="G119" s="14"/>
      <c r="H119" s="14"/>
      <c r="I119" s="14"/>
      <c r="J119" s="14">
        <v>0</v>
      </c>
      <c r="K119" s="14">
        <f>$J$119</f>
        <v>0</v>
      </c>
      <c r="L119" s="14">
        <f t="shared" ref="L119:N119" si="51">$J$119</f>
        <v>0</v>
      </c>
      <c r="M119" s="14">
        <f t="shared" si="51"/>
        <v>0</v>
      </c>
      <c r="N119" s="14">
        <f t="shared" si="51"/>
        <v>0</v>
      </c>
      <c r="O119" s="14">
        <f>O118*60%</f>
        <v>7489.8776340690501</v>
      </c>
      <c r="P119" s="14">
        <f t="shared" ref="P119:R119" si="52">P118*60%</f>
        <v>18143.223669105701</v>
      </c>
      <c r="Q119" s="14">
        <f t="shared" si="52"/>
        <v>30488.166054636771</v>
      </c>
      <c r="R119" s="14">
        <f t="shared" si="52"/>
        <v>45399.618474543277</v>
      </c>
    </row>
    <row r="120" spans="2:18" x14ac:dyDescent="0.3">
      <c r="C120" s="13" t="s">
        <v>232</v>
      </c>
      <c r="F120" s="14"/>
      <c r="G120" s="14"/>
      <c r="H120" s="14"/>
      <c r="I120" s="14"/>
      <c r="J120" s="14">
        <f>J118-J119</f>
        <v>-60554.922343798477</v>
      </c>
      <c r="K120" s="14">
        <f t="shared" ref="K120:R120" si="53">K118-K119</f>
        <v>-47662.814832916694</v>
      </c>
      <c r="L120" s="14">
        <f t="shared" si="53"/>
        <v>-29402.128758632163</v>
      </c>
      <c r="M120" s="14">
        <f t="shared" si="53"/>
        <v>-15277.593477486838</v>
      </c>
      <c r="N120" s="14">
        <f t="shared" si="53"/>
        <v>-1856.1182364190299</v>
      </c>
      <c r="O120" s="14">
        <f t="shared" si="53"/>
        <v>4993.2517560460337</v>
      </c>
      <c r="P120" s="14">
        <f t="shared" si="53"/>
        <v>12095.482446070466</v>
      </c>
      <c r="Q120" s="14">
        <f t="shared" si="53"/>
        <v>20325.444036424517</v>
      </c>
      <c r="R120" s="14">
        <f t="shared" si="53"/>
        <v>30266.412316362192</v>
      </c>
    </row>
    <row r="121" spans="2:18" x14ac:dyDescent="0.3">
      <c r="C121" s="1" t="s">
        <v>233</v>
      </c>
      <c r="F121" s="14"/>
      <c r="G121" s="14"/>
      <c r="H121" s="14"/>
      <c r="I121" s="14"/>
      <c r="J121" s="14"/>
      <c r="K121" s="14"/>
      <c r="L121" s="14"/>
      <c r="M121" s="14"/>
      <c r="N121" s="14"/>
      <c r="O121" s="14">
        <f>O120*10%</f>
        <v>499.32517560460337</v>
      </c>
      <c r="P121" s="14">
        <f t="shared" ref="P121:R121" si="54">P120*10%</f>
        <v>1209.5482446070466</v>
      </c>
      <c r="Q121" s="14">
        <f t="shared" si="54"/>
        <v>2032.5444036424517</v>
      </c>
      <c r="R121" s="14">
        <f t="shared" si="54"/>
        <v>3026.6412316362193</v>
      </c>
    </row>
    <row r="122" spans="2:18" x14ac:dyDescent="0.3">
      <c r="B122" s="13"/>
      <c r="C122" s="13" t="s">
        <v>234</v>
      </c>
      <c r="D122" s="13"/>
      <c r="E122" s="13"/>
      <c r="F122" s="21"/>
      <c r="G122" s="21"/>
      <c r="H122" s="21"/>
      <c r="I122" s="21"/>
      <c r="J122" s="21"/>
      <c r="K122" s="21"/>
      <c r="L122" s="21"/>
      <c r="M122" s="21"/>
      <c r="N122" s="21"/>
      <c r="O122" s="21">
        <f>O120-O121</f>
        <v>4493.9265804414299</v>
      </c>
      <c r="P122" s="21">
        <f t="shared" ref="P122:R122" si="55">P120-P121</f>
        <v>10885.934201463419</v>
      </c>
      <c r="Q122" s="21">
        <f t="shared" si="55"/>
        <v>18292.899632782064</v>
      </c>
      <c r="R122" s="21">
        <f t="shared" si="55"/>
        <v>27239.771084725973</v>
      </c>
    </row>
    <row r="123" spans="2:18" x14ac:dyDescent="0.3"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</row>
    <row r="124" spans="2:18" x14ac:dyDescent="0.3">
      <c r="C124" s="1" t="s">
        <v>235</v>
      </c>
      <c r="F124" s="14"/>
      <c r="G124" s="14"/>
      <c r="H124" s="14"/>
      <c r="I124" s="14"/>
      <c r="J124" s="14"/>
      <c r="K124" s="14"/>
      <c r="L124" s="14"/>
      <c r="M124" s="14"/>
      <c r="N124" s="14"/>
      <c r="O124" s="14">
        <f>O120*$D$116</f>
        <v>1256.7016019616658</v>
      </c>
      <c r="P124" s="14">
        <f t="shared" ref="P124:R124" si="56">P120*$D$116</f>
        <v>3044.1910220270152</v>
      </c>
      <c r="Q124" s="14">
        <f t="shared" si="56"/>
        <v>5115.5077550873229</v>
      </c>
      <c r="R124" s="14">
        <f t="shared" si="56"/>
        <v>7617.4506517820364</v>
      </c>
    </row>
    <row r="125" spans="2:18" x14ac:dyDescent="0.3"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</row>
    <row r="126" spans="2:18" x14ac:dyDescent="0.3">
      <c r="C126" s="38" t="s">
        <v>236</v>
      </c>
      <c r="D126" s="39"/>
      <c r="E126" s="39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87"/>
    </row>
    <row r="127" spans="2:18" x14ac:dyDescent="0.3">
      <c r="C127" s="58" t="s">
        <v>237</v>
      </c>
      <c r="F127" s="14"/>
      <c r="G127" s="14"/>
      <c r="H127" s="14"/>
      <c r="I127" s="14"/>
      <c r="J127" s="14"/>
      <c r="K127" s="14"/>
      <c r="L127" s="14"/>
      <c r="M127" s="14"/>
      <c r="N127" s="14"/>
      <c r="O127" s="14">
        <f>O122*$D$116</f>
        <v>1131.031441765499</v>
      </c>
      <c r="P127" s="14">
        <f t="shared" ref="P127:R127" si="57">P122*$D$116</f>
        <v>2739.7719198243135</v>
      </c>
      <c r="Q127" s="14">
        <f t="shared" si="57"/>
        <v>4603.9569795785901</v>
      </c>
      <c r="R127" s="14">
        <f t="shared" si="57"/>
        <v>6855.7055866038336</v>
      </c>
    </row>
    <row r="128" spans="2:18" x14ac:dyDescent="0.3">
      <c r="C128" s="58" t="s">
        <v>238</v>
      </c>
      <c r="F128" s="14"/>
      <c r="G128" s="14"/>
      <c r="H128" s="14"/>
      <c r="I128" s="14"/>
      <c r="J128" s="14"/>
      <c r="K128" s="14"/>
      <c r="L128" s="14"/>
      <c r="M128" s="14"/>
      <c r="N128" s="14"/>
      <c r="O128" s="14">
        <f>O124-O127</f>
        <v>125.67016019616676</v>
      </c>
      <c r="P128" s="14">
        <f t="shared" ref="P128:R128" si="58">P124-P127</f>
        <v>304.41910220270165</v>
      </c>
      <c r="Q128" s="14">
        <f t="shared" si="58"/>
        <v>511.55077550873284</v>
      </c>
      <c r="R128" s="14">
        <f t="shared" si="58"/>
        <v>761.74506517820282</v>
      </c>
    </row>
    <row r="129" spans="2:18" x14ac:dyDescent="0.3">
      <c r="B129" s="13"/>
      <c r="C129" s="88" t="s">
        <v>239</v>
      </c>
      <c r="D129" s="89"/>
      <c r="E129" s="89"/>
      <c r="F129" s="90"/>
      <c r="G129" s="90"/>
      <c r="H129" s="90"/>
      <c r="I129" s="90"/>
      <c r="J129" s="90"/>
      <c r="K129" s="90"/>
      <c r="L129" s="90"/>
      <c r="M129" s="90"/>
      <c r="N129" s="90"/>
      <c r="O129" s="91">
        <f t="shared" ref="O129:Q129" si="59">O127+O128</f>
        <v>1256.7016019616658</v>
      </c>
      <c r="P129" s="91">
        <f t="shared" si="59"/>
        <v>3044.1910220270152</v>
      </c>
      <c r="Q129" s="91">
        <f t="shared" si="59"/>
        <v>5115.5077550873229</v>
      </c>
      <c r="R129" s="91">
        <f>R127+R128</f>
        <v>7617.4506517820364</v>
      </c>
    </row>
    <row r="130" spans="2:18" x14ac:dyDescent="0.3"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</row>
    <row r="131" spans="2:18" x14ac:dyDescent="0.3">
      <c r="C131" s="1" t="s">
        <v>240</v>
      </c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2:18" x14ac:dyDescent="0.3">
      <c r="C132" s="1" t="s">
        <v>241</v>
      </c>
      <c r="F132" s="14"/>
      <c r="G132" s="14"/>
      <c r="H132" s="14"/>
      <c r="I132" s="14"/>
      <c r="J132" s="14">
        <v>33864.870000000003</v>
      </c>
      <c r="K132" s="14">
        <f>J135</f>
        <v>49105.332855487206</v>
      </c>
      <c r="L132" s="14">
        <f t="shared" ref="L132:R132" si="60">K135</f>
        <v>61101.110092635681</v>
      </c>
      <c r="M132" s="14">
        <f t="shared" si="60"/>
        <v>68501.037858608222</v>
      </c>
      <c r="N132" s="14">
        <f t="shared" si="60"/>
        <v>72346.102585022105</v>
      </c>
      <c r="O132" s="14">
        <f t="shared" si="60"/>
        <v>72813.250422764046</v>
      </c>
      <c r="P132" s="14">
        <f t="shared" si="60"/>
        <v>65323.372788694993</v>
      </c>
      <c r="Q132" s="14">
        <f t="shared" si="60"/>
        <v>47180.149119589289</v>
      </c>
      <c r="R132" s="14">
        <f t="shared" si="60"/>
        <v>16691.983064952517</v>
      </c>
    </row>
    <row r="133" spans="2:18" x14ac:dyDescent="0.3">
      <c r="C133" s="1" t="s">
        <v>244</v>
      </c>
      <c r="F133" s="14"/>
      <c r="G133" s="14"/>
      <c r="H133" s="14"/>
      <c r="I133" s="14"/>
      <c r="J133" s="14">
        <f>-J118*$D$116</f>
        <v>15240.462855487202</v>
      </c>
      <c r="K133" s="14">
        <f t="shared" ref="K133:N133" si="61">-K118*$D$116</f>
        <v>11995.777237148473</v>
      </c>
      <c r="L133" s="14">
        <f t="shared" si="61"/>
        <v>7399.9277659725431</v>
      </c>
      <c r="M133" s="14">
        <f t="shared" si="61"/>
        <v>3845.0647264138879</v>
      </c>
      <c r="N133" s="14">
        <f t="shared" si="61"/>
        <v>467.14783774194149</v>
      </c>
      <c r="O133" s="14"/>
      <c r="P133" s="14"/>
      <c r="Q133" s="14"/>
      <c r="R133" s="14"/>
    </row>
    <row r="134" spans="2:18" x14ac:dyDescent="0.3">
      <c r="C134" s="1" t="s">
        <v>242</v>
      </c>
      <c r="F134" s="14"/>
      <c r="G134" s="14"/>
      <c r="H134" s="14"/>
      <c r="I134" s="14"/>
      <c r="J134" s="14"/>
      <c r="K134" s="14"/>
      <c r="L134" s="14"/>
      <c r="M134" s="14"/>
      <c r="N134" s="14"/>
      <c r="O134" s="14">
        <f>O119</f>
        <v>7489.8776340690501</v>
      </c>
      <c r="P134" s="14">
        <f t="shared" ref="P134:R134" si="62">P119</f>
        <v>18143.223669105701</v>
      </c>
      <c r="Q134" s="14">
        <f t="shared" si="62"/>
        <v>30488.166054636771</v>
      </c>
      <c r="R134" s="14">
        <f t="shared" si="62"/>
        <v>45399.618474543277</v>
      </c>
    </row>
    <row r="135" spans="2:18" x14ac:dyDescent="0.3">
      <c r="C135" s="1" t="s">
        <v>243</v>
      </c>
      <c r="F135" s="14"/>
      <c r="G135" s="14"/>
      <c r="H135" s="14"/>
      <c r="I135" s="14"/>
      <c r="J135" s="14">
        <f>J132+J133-J134</f>
        <v>49105.332855487206</v>
      </c>
      <c r="K135" s="14">
        <f t="shared" ref="K135:N135" si="63">K132+K133-K134</f>
        <v>61101.110092635681</v>
      </c>
      <c r="L135" s="14">
        <f t="shared" si="63"/>
        <v>68501.037858608222</v>
      </c>
      <c r="M135" s="14">
        <f t="shared" si="63"/>
        <v>72346.102585022105</v>
      </c>
      <c r="N135" s="14">
        <f t="shared" si="63"/>
        <v>72813.250422764046</v>
      </c>
      <c r="O135" s="14">
        <f t="shared" ref="O135" si="64">O132+O133-O134</f>
        <v>65323.372788694993</v>
      </c>
      <c r="P135" s="14">
        <f t="shared" ref="P135" si="65">P132+P133-P134</f>
        <v>47180.149119589289</v>
      </c>
      <c r="Q135" s="14">
        <f t="shared" ref="Q135" si="66">Q132+Q133-Q134</f>
        <v>16691.983064952517</v>
      </c>
      <c r="R135" s="14">
        <f t="shared" ref="R135" si="67">R132+R133-R134</f>
        <v>-28707.635409590759</v>
      </c>
    </row>
  </sheetData>
  <pageMargins left="0.7" right="0.7" top="0.75" bottom="0.75" header="0.3" footer="0.3"/>
  <ignoredErrors>
    <ignoredError sqref="K35:Q35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E2F67-4048-4E79-A59B-F2AB9194D68B}">
  <dimension ref="B1:O70"/>
  <sheetViews>
    <sheetView topLeftCell="A17" workbookViewId="0">
      <selection activeCell="C17" sqref="C17"/>
    </sheetView>
  </sheetViews>
  <sheetFormatPr defaultRowHeight="14.5" x14ac:dyDescent="0.35"/>
  <cols>
    <col min="2" max="2" width="46" bestFit="1" customWidth="1"/>
    <col min="3" max="3" width="10.26953125" bestFit="1" customWidth="1"/>
    <col min="4" max="4" width="10.81640625" bestFit="1" customWidth="1"/>
    <col min="5" max="6" width="9.54296875" bestFit="1" customWidth="1"/>
    <col min="7" max="7" width="20" bestFit="1" customWidth="1"/>
    <col min="8" max="8" width="9.54296875" bestFit="1" customWidth="1"/>
    <col min="9" max="9" width="10.26953125" bestFit="1" customWidth="1"/>
    <col min="10" max="11" width="8.90625" bestFit="1" customWidth="1"/>
    <col min="12" max="12" width="9" bestFit="1" customWidth="1"/>
    <col min="13" max="14" width="8.90625" bestFit="1" customWidth="1"/>
    <col min="15" max="15" width="8.54296875" bestFit="1" customWidth="1"/>
  </cols>
  <sheetData>
    <row r="1" spans="2:15" ht="39" thickBot="1" x14ac:dyDescent="0.4">
      <c r="B1" s="6" t="s">
        <v>10</v>
      </c>
      <c r="C1" s="2" t="s">
        <v>11</v>
      </c>
      <c r="D1" s="3" t="s">
        <v>12</v>
      </c>
      <c r="E1" s="3" t="s">
        <v>13</v>
      </c>
      <c r="F1" s="3" t="s">
        <v>14</v>
      </c>
      <c r="G1" s="3" t="s">
        <v>15</v>
      </c>
      <c r="H1" s="3" t="s">
        <v>16</v>
      </c>
      <c r="I1" s="3" t="s">
        <v>17</v>
      </c>
      <c r="J1" s="3" t="s">
        <v>18</v>
      </c>
      <c r="K1" s="3" t="s">
        <v>19</v>
      </c>
      <c r="L1" s="3" t="s">
        <v>20</v>
      </c>
      <c r="M1" s="3" t="s">
        <v>21</v>
      </c>
      <c r="N1" s="3" t="s">
        <v>22</v>
      </c>
      <c r="O1" s="3" t="s">
        <v>23</v>
      </c>
    </row>
    <row r="2" spans="2:15" ht="15" thickBot="1" x14ac:dyDescent="0.4">
      <c r="B2" s="6" t="s">
        <v>24</v>
      </c>
      <c r="C2" s="2" t="s">
        <v>25</v>
      </c>
      <c r="D2" s="4">
        <v>74976.460000000006</v>
      </c>
      <c r="E2" s="4">
        <v>58182.96</v>
      </c>
      <c r="F2" s="4">
        <v>46853.72</v>
      </c>
      <c r="G2" s="4">
        <v>46222.7</v>
      </c>
      <c r="H2" s="4">
        <v>42780.62</v>
      </c>
      <c r="I2" s="4">
        <v>31266.82</v>
      </c>
      <c r="J2" s="4">
        <v>20556.849999999999</v>
      </c>
      <c r="K2" s="4">
        <v>16495.18</v>
      </c>
      <c r="L2" s="4">
        <v>14073.07</v>
      </c>
      <c r="M2" s="4">
        <v>11453.3</v>
      </c>
      <c r="N2" s="4">
        <v>10354.85</v>
      </c>
      <c r="O2" s="4">
        <v>8663.94</v>
      </c>
    </row>
    <row r="3" spans="2:15" ht="15" thickBot="1" x14ac:dyDescent="0.4">
      <c r="B3" s="6" t="s">
        <v>26</v>
      </c>
      <c r="C3" s="2" t="s">
        <v>27</v>
      </c>
      <c r="D3" s="5">
        <v>0.28860000000000002</v>
      </c>
      <c r="E3" s="5">
        <v>0.24179999999999999</v>
      </c>
      <c r="F3" s="5">
        <v>1.37E-2</v>
      </c>
      <c r="G3" s="5">
        <v>8.0500000000000002E-2</v>
      </c>
      <c r="H3" s="5">
        <v>0.36820000000000003</v>
      </c>
      <c r="I3" s="5">
        <v>0.52100000000000002</v>
      </c>
      <c r="J3" s="5">
        <v>0.2462</v>
      </c>
      <c r="K3" s="5">
        <v>0.1721</v>
      </c>
      <c r="L3" s="5">
        <v>0.22869999999999999</v>
      </c>
      <c r="M3" s="5">
        <v>0.1061</v>
      </c>
      <c r="N3" s="5">
        <v>0.19520000000000001</v>
      </c>
      <c r="O3" s="2" t="s">
        <v>28</v>
      </c>
    </row>
    <row r="4" spans="2:15" ht="15" thickBot="1" x14ac:dyDescent="0.4">
      <c r="B4" s="6" t="s">
        <v>29</v>
      </c>
      <c r="C4" s="2" t="s">
        <v>25</v>
      </c>
      <c r="D4" s="4">
        <v>5429.68</v>
      </c>
      <c r="E4" s="4">
        <v>4104.3900000000003</v>
      </c>
      <c r="F4" s="4">
        <v>3089.96</v>
      </c>
      <c r="G4" s="4">
        <v>3733.23</v>
      </c>
      <c r="H4" s="4">
        <v>2969.38</v>
      </c>
      <c r="I4" s="4">
        <v>1924.07</v>
      </c>
      <c r="J4" s="3">
        <v>862.74</v>
      </c>
      <c r="K4" s="3">
        <v>756.22</v>
      </c>
      <c r="L4" s="3">
        <v>482.79</v>
      </c>
      <c r="M4" s="3">
        <v>8.93</v>
      </c>
      <c r="N4" s="2" t="s">
        <v>28</v>
      </c>
      <c r="O4" s="2" t="s">
        <v>28</v>
      </c>
    </row>
    <row r="5" spans="2:15" ht="15" thickBot="1" x14ac:dyDescent="0.4">
      <c r="B5" s="6" t="s">
        <v>30</v>
      </c>
      <c r="C5" s="2" t="s">
        <v>27</v>
      </c>
      <c r="D5" s="5">
        <v>0.32290000000000002</v>
      </c>
      <c r="E5" s="5">
        <v>0.32829999999999998</v>
      </c>
      <c r="F5" s="5">
        <v>-0.17230000000000001</v>
      </c>
      <c r="G5" s="5">
        <v>0.25719999999999998</v>
      </c>
      <c r="H5" s="5">
        <v>0.54330000000000001</v>
      </c>
      <c r="I5" s="5">
        <v>1.2302</v>
      </c>
      <c r="J5" s="5">
        <v>0.1409</v>
      </c>
      <c r="K5" s="5">
        <v>0.56640000000000001</v>
      </c>
      <c r="L5" s="5">
        <v>53.063800000000001</v>
      </c>
      <c r="M5" s="2" t="s">
        <v>28</v>
      </c>
      <c r="N5" s="2" t="s">
        <v>28</v>
      </c>
      <c r="O5" s="2" t="s">
        <v>28</v>
      </c>
    </row>
    <row r="6" spans="2:15" ht="15" thickBot="1" x14ac:dyDescent="0.4">
      <c r="B6" s="6" t="s">
        <v>31</v>
      </c>
      <c r="C6" s="2" t="s">
        <v>25</v>
      </c>
      <c r="D6" s="4">
        <v>1119.8</v>
      </c>
      <c r="E6" s="4">
        <v>1171.02</v>
      </c>
      <c r="F6" s="4">
        <v>1143.3699999999999</v>
      </c>
      <c r="G6" s="4">
        <v>1613.75</v>
      </c>
      <c r="H6" s="4">
        <v>1806.62</v>
      </c>
      <c r="I6" s="4">
        <v>1709.4</v>
      </c>
      <c r="J6" s="4">
        <v>1155.5999999999999</v>
      </c>
      <c r="K6" s="3">
        <v>256.45</v>
      </c>
      <c r="L6" s="3">
        <v>301.39999999999998</v>
      </c>
      <c r="M6" s="3">
        <v>322.95999999999998</v>
      </c>
      <c r="N6" s="3">
        <v>169.54</v>
      </c>
      <c r="O6" s="3">
        <v>102.66</v>
      </c>
    </row>
    <row r="7" spans="2:15" ht="15" thickBot="1" x14ac:dyDescent="0.4">
      <c r="B7" s="6" t="s">
        <v>32</v>
      </c>
      <c r="C7" s="2" t="s">
        <v>25</v>
      </c>
      <c r="D7" s="4">
        <v>76096.259999999995</v>
      </c>
      <c r="E7" s="4">
        <v>59353.98</v>
      </c>
      <c r="F7" s="4">
        <v>47997.09</v>
      </c>
      <c r="G7" s="4">
        <v>47836.45</v>
      </c>
      <c r="H7" s="4">
        <v>44587.24</v>
      </c>
      <c r="I7" s="4">
        <v>32976.22</v>
      </c>
      <c r="J7" s="4">
        <v>21712.45</v>
      </c>
      <c r="K7" s="4">
        <v>16751.63</v>
      </c>
      <c r="L7" s="4">
        <v>14374.47</v>
      </c>
      <c r="M7" s="4">
        <v>11776.26</v>
      </c>
      <c r="N7" s="4">
        <v>10524.39</v>
      </c>
      <c r="O7" s="4">
        <v>8766.6</v>
      </c>
    </row>
    <row r="8" spans="2:15" ht="15" thickBot="1" x14ac:dyDescent="0.4">
      <c r="B8" s="6" t="s">
        <v>33</v>
      </c>
      <c r="C8" s="2" t="s">
        <v>25</v>
      </c>
      <c r="D8" s="4">
        <v>-12475.33</v>
      </c>
      <c r="E8" s="4">
        <v>-13086.84</v>
      </c>
      <c r="F8" s="4">
        <v>-14762.51</v>
      </c>
      <c r="G8" s="4">
        <v>-10090.86</v>
      </c>
      <c r="H8" s="4">
        <v>-17637.7</v>
      </c>
      <c r="I8" s="4">
        <v>-16200.35</v>
      </c>
      <c r="J8" s="4">
        <v>-8218.7999999999993</v>
      </c>
      <c r="K8" s="4">
        <v>-3160.06</v>
      </c>
      <c r="L8" s="4">
        <v>-3385.41</v>
      </c>
      <c r="M8" s="4">
        <v>-3091.25</v>
      </c>
      <c r="N8" s="4">
        <v>-2330.33</v>
      </c>
      <c r="O8" s="4">
        <v>-2438.88</v>
      </c>
    </row>
    <row r="9" spans="2:15" ht="15" thickBot="1" x14ac:dyDescent="0.4">
      <c r="B9" s="6" t="s">
        <v>34</v>
      </c>
      <c r="C9" s="2" t="s">
        <v>35</v>
      </c>
      <c r="D9" s="3">
        <v>-59.4</v>
      </c>
      <c r="E9" s="3">
        <v>-78.400000000000006</v>
      </c>
      <c r="F9" s="3">
        <v>-109.8</v>
      </c>
      <c r="G9" s="3">
        <v>-78.349999999999994</v>
      </c>
      <c r="H9" s="3">
        <v>-142.68</v>
      </c>
      <c r="I9" s="3">
        <v>-171.17</v>
      </c>
      <c r="J9" s="3">
        <v>-131.26</v>
      </c>
      <c r="K9" s="3">
        <v>-61.68</v>
      </c>
      <c r="L9" s="3">
        <v>-74.98</v>
      </c>
      <c r="M9" s="3">
        <v>-91.47</v>
      </c>
      <c r="N9" s="3">
        <v>-81.83</v>
      </c>
      <c r="O9" s="3">
        <v>-95.84</v>
      </c>
    </row>
    <row r="10" spans="2:15" ht="15" thickBot="1" x14ac:dyDescent="0.4">
      <c r="B10" s="6" t="s">
        <v>36</v>
      </c>
      <c r="C10" s="2" t="s">
        <v>27</v>
      </c>
      <c r="D10" s="5">
        <v>-0.15340000000000001</v>
      </c>
      <c r="E10" s="5">
        <v>-0.20660000000000001</v>
      </c>
      <c r="F10" s="5">
        <v>-0.2853</v>
      </c>
      <c r="G10" s="5">
        <v>-0.1951</v>
      </c>
      <c r="H10" s="5">
        <v>-0.37509999999999999</v>
      </c>
      <c r="I10" s="5">
        <v>-0.4592</v>
      </c>
      <c r="J10" s="5">
        <v>-0.33410000000000001</v>
      </c>
      <c r="K10" s="5">
        <v>-0.15690000000000001</v>
      </c>
      <c r="L10" s="5">
        <v>-0.1961</v>
      </c>
      <c r="M10" s="5">
        <v>-0.23150000000000001</v>
      </c>
      <c r="N10" s="5">
        <v>-0.20230000000000001</v>
      </c>
      <c r="O10" s="5">
        <v>-0.23980000000000001</v>
      </c>
    </row>
    <row r="11" spans="2:15" ht="15" thickBot="1" x14ac:dyDescent="0.4">
      <c r="B11" s="6" t="s">
        <v>37</v>
      </c>
      <c r="C11" s="2" t="s">
        <v>25</v>
      </c>
      <c r="D11" s="4">
        <v>2649.32</v>
      </c>
      <c r="E11" s="4">
        <v>1381.9</v>
      </c>
      <c r="F11" s="3">
        <v>-333.27</v>
      </c>
      <c r="G11" s="4">
        <v>-1470.78</v>
      </c>
      <c r="H11" s="4">
        <v>-5218.2299999999996</v>
      </c>
      <c r="I11" s="4">
        <v>-4840.24</v>
      </c>
      <c r="J11" s="4">
        <v>-1521.14</v>
      </c>
      <c r="K11" s="3">
        <v>-192.16</v>
      </c>
      <c r="L11" s="3">
        <v>-674.35</v>
      </c>
      <c r="M11" s="3">
        <v>-960.7</v>
      </c>
      <c r="N11" s="3">
        <v>-244.97</v>
      </c>
      <c r="O11" s="3">
        <v>-146.69999999999999</v>
      </c>
    </row>
    <row r="12" spans="2:15" ht="15" thickBot="1" x14ac:dyDescent="0.4">
      <c r="B12" s="6" t="s">
        <v>38</v>
      </c>
      <c r="C12" s="2" t="s">
        <v>25</v>
      </c>
      <c r="D12" s="4">
        <v>-6848.87</v>
      </c>
      <c r="E12" s="4">
        <v>-8640.1299999999992</v>
      </c>
      <c r="F12" s="4">
        <v>-11345.96</v>
      </c>
      <c r="G12" s="4">
        <v>-7789.46</v>
      </c>
      <c r="H12" s="4">
        <v>-19911.830000000002</v>
      </c>
      <c r="I12" s="4">
        <v>-16001.14</v>
      </c>
      <c r="J12" s="4">
        <v>-7406.65</v>
      </c>
      <c r="K12" s="4">
        <v>-2928.72</v>
      </c>
      <c r="L12" s="4">
        <v>-3249.64</v>
      </c>
      <c r="M12" s="4">
        <v>-3455.66</v>
      </c>
      <c r="N12" s="4">
        <v>-2060.11</v>
      </c>
      <c r="O12" s="4">
        <v>-2213.39</v>
      </c>
    </row>
    <row r="13" spans="2:15" ht="15" thickBot="1" x14ac:dyDescent="0.4">
      <c r="B13" s="6" t="s">
        <v>39</v>
      </c>
      <c r="C13" s="2" t="s">
        <v>25</v>
      </c>
      <c r="D13" s="4">
        <v>-8822.23</v>
      </c>
      <c r="E13" s="4">
        <v>-10608.04</v>
      </c>
      <c r="F13" s="4">
        <v>-13827.49</v>
      </c>
      <c r="G13" s="4">
        <v>-10037.66</v>
      </c>
      <c r="H13" s="4">
        <v>-21829.17</v>
      </c>
      <c r="I13" s="4">
        <v>-19388.59</v>
      </c>
      <c r="J13" s="4">
        <v>-8712.3700000000008</v>
      </c>
      <c r="K13" s="4">
        <v>-3394.76</v>
      </c>
      <c r="L13" s="4">
        <v>-3688.3</v>
      </c>
      <c r="M13" s="4">
        <v>-3768.86</v>
      </c>
      <c r="N13" s="4">
        <v>-2430.16</v>
      </c>
      <c r="O13" s="4">
        <v>-2526.5100000000002</v>
      </c>
    </row>
    <row r="14" spans="2:15" ht="15" thickBot="1" x14ac:dyDescent="0.4">
      <c r="B14" s="6" t="s">
        <v>40</v>
      </c>
      <c r="C14" s="2" t="s">
        <v>35</v>
      </c>
      <c r="D14" s="3">
        <v>-42.01</v>
      </c>
      <c r="E14" s="3">
        <v>-63.55</v>
      </c>
      <c r="F14" s="3">
        <v>-102.84</v>
      </c>
      <c r="G14" s="3">
        <v>-77.930000000000007</v>
      </c>
      <c r="H14" s="3">
        <v>-176.59</v>
      </c>
      <c r="I14" s="3">
        <v>-204.86</v>
      </c>
      <c r="J14" s="3">
        <v>-139.13999999999999</v>
      </c>
      <c r="K14" s="3">
        <v>-66.260000000000005</v>
      </c>
      <c r="L14" s="3">
        <v>-81.69</v>
      </c>
      <c r="M14" s="3">
        <v>-111.52</v>
      </c>
      <c r="N14" s="3">
        <v>-85.34</v>
      </c>
      <c r="O14" s="3">
        <v>-99.28</v>
      </c>
    </row>
    <row r="15" spans="2:15" ht="15" thickBot="1" x14ac:dyDescent="0.4">
      <c r="B15" s="6" t="s">
        <v>41</v>
      </c>
      <c r="C15" s="2" t="s">
        <v>25</v>
      </c>
      <c r="D15" s="4">
        <v>56805.27</v>
      </c>
      <c r="E15" s="4">
        <v>65627.509999999995</v>
      </c>
      <c r="F15" s="4">
        <v>50542.59</v>
      </c>
      <c r="G15" s="4">
        <v>64370.06</v>
      </c>
      <c r="H15" s="4">
        <v>74407.72</v>
      </c>
      <c r="I15" s="4">
        <v>96264.89</v>
      </c>
      <c r="J15" s="4">
        <v>87239.37</v>
      </c>
      <c r="K15" s="4">
        <v>13213.14</v>
      </c>
      <c r="L15" s="4">
        <v>16882.61</v>
      </c>
      <c r="M15" s="4">
        <v>21473.95</v>
      </c>
      <c r="N15" s="4">
        <v>21433.17</v>
      </c>
      <c r="O15" s="4">
        <v>7954.09</v>
      </c>
    </row>
    <row r="16" spans="2:15" x14ac:dyDescent="0.35">
      <c r="C16" s="8" t="s">
        <v>44</v>
      </c>
      <c r="D16" t="s">
        <v>45</v>
      </c>
    </row>
    <row r="17" spans="2:12" x14ac:dyDescent="0.35">
      <c r="B17" s="7" t="s">
        <v>42</v>
      </c>
      <c r="C17">
        <v>52.34</v>
      </c>
      <c r="I17" s="83">
        <f>-50415/C38</f>
        <v>-0.24021031588835789</v>
      </c>
    </row>
    <row r="18" spans="2:12" x14ac:dyDescent="0.35">
      <c r="B18" s="7" t="s">
        <v>43</v>
      </c>
      <c r="C18">
        <v>1.01</v>
      </c>
      <c r="D18">
        <v>4.34</v>
      </c>
      <c r="F18" t="s">
        <v>69</v>
      </c>
    </row>
    <row r="19" spans="2:12" x14ac:dyDescent="0.35">
      <c r="B19" s="7" t="s">
        <v>46</v>
      </c>
      <c r="C19">
        <v>61.24</v>
      </c>
      <c r="F19" t="s">
        <v>70</v>
      </c>
      <c r="G19" s="10">
        <v>0.17299999999999999</v>
      </c>
      <c r="I19">
        <f>$J$29*G19*$H$32</f>
        <v>8.0777341938764721E-2</v>
      </c>
    </row>
    <row r="20" spans="2:12" x14ac:dyDescent="0.35">
      <c r="F20" t="s">
        <v>71</v>
      </c>
      <c r="G20" s="11">
        <v>0.73</v>
      </c>
      <c r="I20">
        <f t="shared" ref="I20:I22" si="0">$J$29*G20*$H$32</f>
        <v>0.34085236771848704</v>
      </c>
    </row>
    <row r="21" spans="2:12" x14ac:dyDescent="0.35">
      <c r="B21" s="7" t="s">
        <v>47</v>
      </c>
      <c r="C21">
        <v>127.79</v>
      </c>
      <c r="F21" t="s">
        <v>72</v>
      </c>
      <c r="G21" s="11">
        <v>0.33</v>
      </c>
      <c r="I21">
        <f t="shared" si="0"/>
        <v>0.1540839470508229</v>
      </c>
    </row>
    <row r="22" spans="2:12" x14ac:dyDescent="0.35">
      <c r="F22" t="s">
        <v>51</v>
      </c>
      <c r="G22" s="10">
        <v>0.65400000000000003</v>
      </c>
      <c r="I22">
        <f t="shared" si="0"/>
        <v>0.30536636779163084</v>
      </c>
    </row>
    <row r="23" spans="2:12" x14ac:dyDescent="0.35">
      <c r="B23" t="s">
        <v>49</v>
      </c>
      <c r="C23">
        <v>599</v>
      </c>
      <c r="D23">
        <f>C23/C27</f>
        <v>0.62920168067226889</v>
      </c>
    </row>
    <row r="24" spans="2:12" x14ac:dyDescent="0.35">
      <c r="B24" t="s">
        <v>50</v>
      </c>
      <c r="C24">
        <v>88</v>
      </c>
      <c r="D24">
        <f>C24/C27</f>
        <v>9.2436974789915971E-2</v>
      </c>
      <c r="F24" t="s">
        <v>73</v>
      </c>
      <c r="G24">
        <v>13806</v>
      </c>
      <c r="K24" t="s">
        <v>85</v>
      </c>
    </row>
    <row r="25" spans="2:12" x14ac:dyDescent="0.35">
      <c r="B25" t="s">
        <v>51</v>
      </c>
      <c r="C25">
        <v>66</v>
      </c>
      <c r="D25">
        <f>C25/C27</f>
        <v>6.9327731092436978E-2</v>
      </c>
      <c r="F25" t="s">
        <v>74</v>
      </c>
      <c r="G25">
        <f>2675*(1.09^10)</f>
        <v>6332.6978295339177</v>
      </c>
      <c r="H25">
        <f>G25/G24</f>
        <v>0.45869171588685481</v>
      </c>
      <c r="K25" t="s">
        <v>86</v>
      </c>
      <c r="L25">
        <f>53438.5*1.18</f>
        <v>63057.43</v>
      </c>
    </row>
    <row r="26" spans="2:12" x14ac:dyDescent="0.35">
      <c r="B26" t="s">
        <v>52</v>
      </c>
      <c r="C26">
        <v>199</v>
      </c>
      <c r="D26">
        <f>C26/C27</f>
        <v>0.20903361344537816</v>
      </c>
    </row>
    <row r="27" spans="2:12" x14ac:dyDescent="0.35">
      <c r="C27">
        <v>952</v>
      </c>
      <c r="F27" t="s">
        <v>75</v>
      </c>
      <c r="G27">
        <v>1130</v>
      </c>
      <c r="L27">
        <f>L25*J29*H32</f>
        <v>29442.84153115446</v>
      </c>
    </row>
    <row r="28" spans="2:12" x14ac:dyDescent="0.35">
      <c r="F28" t="s">
        <v>76</v>
      </c>
      <c r="G28">
        <v>1000</v>
      </c>
      <c r="H28">
        <f>G28/G27</f>
        <v>0.88495575221238942</v>
      </c>
    </row>
    <row r="29" spans="2:12" x14ac:dyDescent="0.35">
      <c r="C29" t="s">
        <v>4</v>
      </c>
      <c r="D29" t="s">
        <v>119</v>
      </c>
      <c r="E29" t="s">
        <v>6</v>
      </c>
      <c r="J29">
        <f>(H28*0.5+H25*0.5)-0.1</f>
        <v>0.57182373404962217</v>
      </c>
    </row>
    <row r="30" spans="2:12" x14ac:dyDescent="0.35">
      <c r="B30" t="s">
        <v>120</v>
      </c>
      <c r="C30">
        <v>7.75</v>
      </c>
      <c r="D30">
        <v>23</v>
      </c>
      <c r="E30">
        <v>47.5</v>
      </c>
    </row>
    <row r="31" spans="2:12" x14ac:dyDescent="0.35">
      <c r="B31" t="s">
        <v>121</v>
      </c>
      <c r="E31">
        <v>310</v>
      </c>
      <c r="F31" t="s">
        <v>79</v>
      </c>
      <c r="G31">
        <v>2650</v>
      </c>
    </row>
    <row r="32" spans="2:12" x14ac:dyDescent="0.35">
      <c r="F32" t="s">
        <v>80</v>
      </c>
      <c r="G32">
        <v>2163.85</v>
      </c>
      <c r="H32">
        <f>G32/G31</f>
        <v>0.81654716981132069</v>
      </c>
    </row>
    <row r="34" spans="2:12" x14ac:dyDescent="0.35">
      <c r="F34" t="s">
        <v>77</v>
      </c>
      <c r="G34">
        <v>975</v>
      </c>
    </row>
    <row r="35" spans="2:12" x14ac:dyDescent="0.35">
      <c r="F35" t="s">
        <v>78</v>
      </c>
      <c r="G35">
        <f>J29*G34</f>
        <v>557.52814069838166</v>
      </c>
    </row>
    <row r="38" spans="2:12" x14ac:dyDescent="0.35">
      <c r="B38" t="s">
        <v>94</v>
      </c>
      <c r="C38" s="12">
        <f>C40-C39</f>
        <v>209878.58000000002</v>
      </c>
      <c r="D38" s="12">
        <f>D40-D39</f>
        <v>104587.06</v>
      </c>
      <c r="E38" s="12">
        <f>E40-E39</f>
        <v>44053.440000000002</v>
      </c>
    </row>
    <row r="39" spans="2:12" x14ac:dyDescent="0.35">
      <c r="B39" t="s">
        <v>95</v>
      </c>
      <c r="C39" s="12">
        <f>SUM(D4:G4)</f>
        <v>16357.259999999998</v>
      </c>
      <c r="D39" s="12">
        <f>SUM(H4:K4)</f>
        <v>6512.41</v>
      </c>
      <c r="E39" s="12">
        <f>SUM(L4:O4)</f>
        <v>491.72</v>
      </c>
      <c r="I39" s="12">
        <f>-50415-C39</f>
        <v>-66772.259999999995</v>
      </c>
      <c r="J39">
        <f>I39/C38</f>
        <v>-0.31814709247604017</v>
      </c>
    </row>
    <row r="40" spans="2:12" x14ac:dyDescent="0.35">
      <c r="C40" s="12">
        <f>SUM(D2:G2)</f>
        <v>226235.84000000003</v>
      </c>
      <c r="D40" s="12">
        <f>SUM(H2:K2)</f>
        <v>111099.47</v>
      </c>
      <c r="E40" s="12">
        <f>SUM(L2:O2)</f>
        <v>44545.16</v>
      </c>
    </row>
    <row r="42" spans="2:12" x14ac:dyDescent="0.35">
      <c r="B42" t="s">
        <v>96</v>
      </c>
      <c r="C42" s="9">
        <f>C38/'Rough Sheet'!I8</f>
        <v>0.8457546700879639</v>
      </c>
      <c r="D42" s="9">
        <f>D38/'Rough Sheet'!H8</f>
        <v>0.82327842478377811</v>
      </c>
      <c r="E42" s="9">
        <f>E38/'Rough Sheet'!G8</f>
        <v>0.84204763878078737</v>
      </c>
    </row>
    <row r="44" spans="2:12" x14ac:dyDescent="0.35">
      <c r="H44" t="s">
        <v>3</v>
      </c>
      <c r="I44" t="s">
        <v>4</v>
      </c>
      <c r="J44" t="s">
        <v>5</v>
      </c>
      <c r="K44" t="s">
        <v>6</v>
      </c>
      <c r="L44" t="s">
        <v>93</v>
      </c>
    </row>
    <row r="45" spans="2:12" x14ac:dyDescent="0.35">
      <c r="B45" t="s">
        <v>115</v>
      </c>
      <c r="C45" s="12">
        <f>C40</f>
        <v>226235.84000000003</v>
      </c>
      <c r="D45" s="12">
        <f t="shared" ref="D45:E45" si="1">D40</f>
        <v>111099.47</v>
      </c>
      <c r="E45" s="12">
        <f t="shared" si="1"/>
        <v>44545.16</v>
      </c>
      <c r="G45" t="s">
        <v>2</v>
      </c>
      <c r="H45">
        <v>22952.400000000001</v>
      </c>
      <c r="I45">
        <v>52317.04</v>
      </c>
      <c r="J45">
        <v>127037.29</v>
      </c>
      <c r="K45">
        <v>248155.39</v>
      </c>
      <c r="L45">
        <f>L46*L47</f>
        <v>730249.36232984834</v>
      </c>
    </row>
    <row r="46" spans="2:12" x14ac:dyDescent="0.35">
      <c r="B46" t="s">
        <v>116</v>
      </c>
      <c r="C46">
        <f>184849-2866.07</f>
        <v>181982.93</v>
      </c>
      <c r="D46">
        <f>100260.18-4838.95</f>
        <v>95421.23</v>
      </c>
      <c r="E46">
        <f>34626.73+311.86</f>
        <v>34938.590000000004</v>
      </c>
      <c r="G46" t="s">
        <v>7</v>
      </c>
      <c r="H46">
        <v>70.7</v>
      </c>
      <c r="I46">
        <v>132.87</v>
      </c>
      <c r="J46">
        <v>332.11</v>
      </c>
      <c r="K46">
        <v>640.17999999999995</v>
      </c>
      <c r="L46">
        <f>Data!G35*2</f>
        <v>1115.0562813967633</v>
      </c>
    </row>
    <row r="47" spans="2:12" x14ac:dyDescent="0.35">
      <c r="G47" t="s">
        <v>8</v>
      </c>
      <c r="H47">
        <f>H45/H46</f>
        <v>324.64497878359265</v>
      </c>
      <c r="I47">
        <f>I45/I46</f>
        <v>393.74606758485737</v>
      </c>
      <c r="J47">
        <f>J45/J46</f>
        <v>382.51570262864709</v>
      </c>
      <c r="K47">
        <f>K45/K46</f>
        <v>387.63377487581624</v>
      </c>
      <c r="L47">
        <f>K47*(1+6%)^9</f>
        <v>654.89910645147825</v>
      </c>
    </row>
    <row r="48" spans="2:12" x14ac:dyDescent="0.35">
      <c r="C48">
        <f>C46/C45</f>
        <v>0.80439478554768318</v>
      </c>
      <c r="D48">
        <f>D46/D45</f>
        <v>0.85888105496812894</v>
      </c>
      <c r="E48">
        <f>E46/E45</f>
        <v>0.78434088013153391</v>
      </c>
      <c r="G48" t="s">
        <v>9</v>
      </c>
      <c r="I48">
        <v>491.72</v>
      </c>
      <c r="J48">
        <v>6512.41</v>
      </c>
      <c r="K48">
        <v>16357.26</v>
      </c>
    </row>
    <row r="50" spans="2:8" x14ac:dyDescent="0.35">
      <c r="B50" t="s">
        <v>117</v>
      </c>
      <c r="E50">
        <v>-59.4</v>
      </c>
    </row>
    <row r="51" spans="2:8" x14ac:dyDescent="0.35">
      <c r="B51" t="s">
        <v>118</v>
      </c>
      <c r="E51">
        <v>1.35</v>
      </c>
    </row>
    <row r="52" spans="2:8" x14ac:dyDescent="0.35">
      <c r="E52">
        <f>20%*K47</f>
        <v>77.526754975163257</v>
      </c>
      <c r="F52" s="11">
        <v>0.2</v>
      </c>
      <c r="G52" s="11">
        <v>0.25</v>
      </c>
    </row>
    <row r="53" spans="2:8" x14ac:dyDescent="0.35">
      <c r="B53" t="s">
        <v>42</v>
      </c>
      <c r="E53">
        <v>52.34</v>
      </c>
      <c r="F53">
        <f>E53/387</f>
        <v>0.13524547803617573</v>
      </c>
      <c r="G53" s="11">
        <v>5.5E-2</v>
      </c>
    </row>
    <row r="54" spans="2:8" x14ac:dyDescent="0.35">
      <c r="B54" t="s">
        <v>123</v>
      </c>
      <c r="E54">
        <v>75.45</v>
      </c>
      <c r="F54">
        <f>E54/387</f>
        <v>0.19496124031007753</v>
      </c>
      <c r="G54" s="10">
        <v>0.15503875968992248</v>
      </c>
      <c r="H54">
        <f>60/387</f>
        <v>0.15503875968992248</v>
      </c>
    </row>
    <row r="55" spans="2:8" x14ac:dyDescent="0.35">
      <c r="B55" t="s">
        <v>124</v>
      </c>
      <c r="E55">
        <f>E53+E54</f>
        <v>127.79</v>
      </c>
      <c r="G55" s="33">
        <f>G52-G53-G54</f>
        <v>3.9961240310077528E-2</v>
      </c>
    </row>
    <row r="57" spans="2:8" x14ac:dyDescent="0.35">
      <c r="B57" t="s">
        <v>125</v>
      </c>
      <c r="E57">
        <f>E52-E55</f>
        <v>-50.263245024836749</v>
      </c>
    </row>
    <row r="58" spans="2:8" x14ac:dyDescent="0.35">
      <c r="B58" t="s">
        <v>126</v>
      </c>
      <c r="E58">
        <f>E57/Data!K47</f>
        <v>-0.12966683576770177</v>
      </c>
    </row>
    <row r="60" spans="2:8" x14ac:dyDescent="0.35">
      <c r="B60" t="s">
        <v>157</v>
      </c>
      <c r="C60">
        <v>1226.6300000000001</v>
      </c>
      <c r="D60">
        <v>8811.19</v>
      </c>
      <c r="E60">
        <v>6690</v>
      </c>
    </row>
    <row r="61" spans="2:8" x14ac:dyDescent="0.35">
      <c r="C61">
        <f>C60/Data!I45</f>
        <v>2.3446089457660451E-2</v>
      </c>
      <c r="D61">
        <f>D60/Data!J45</f>
        <v>6.9359083462816315E-2</v>
      </c>
      <c r="E61">
        <f>E60/Data!K45</f>
        <v>2.6958914734836102E-2</v>
      </c>
    </row>
    <row r="63" spans="2:8" x14ac:dyDescent="0.35">
      <c r="B63" t="s">
        <v>254</v>
      </c>
    </row>
    <row r="64" spans="2:8" x14ac:dyDescent="0.35">
      <c r="B64" s="11">
        <v>0.73</v>
      </c>
      <c r="C64" s="11">
        <v>0.27</v>
      </c>
    </row>
    <row r="65" spans="2:4" x14ac:dyDescent="0.35">
      <c r="B65" s="10">
        <v>0.1174</v>
      </c>
      <c r="C65" s="11">
        <v>0.09</v>
      </c>
    </row>
    <row r="66" spans="2:4" x14ac:dyDescent="0.35">
      <c r="B66" s="103">
        <f>B65*B64</f>
        <v>8.5702E-2</v>
      </c>
      <c r="C66" s="103">
        <f>C64*C65*(1-25.17%)</f>
        <v>1.8183690000000002E-2</v>
      </c>
      <c r="D66" s="103">
        <f>B66+C66</f>
        <v>0.10388569</v>
      </c>
    </row>
    <row r="68" spans="2:4" x14ac:dyDescent="0.35">
      <c r="B68" t="s">
        <v>255</v>
      </c>
      <c r="C68">
        <f>33044+3910+1016+33044</f>
        <v>71014</v>
      </c>
    </row>
    <row r="69" spans="2:4" x14ac:dyDescent="0.35">
      <c r="B69" t="s">
        <v>256</v>
      </c>
      <c r="C69">
        <f>5689+4041</f>
        <v>9730</v>
      </c>
    </row>
    <row r="70" spans="2:4" x14ac:dyDescent="0.35">
      <c r="B70" t="s">
        <v>258</v>
      </c>
      <c r="C70">
        <v>80100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Assumptions</vt:lpstr>
      <vt:lpstr>Valuation</vt:lpstr>
      <vt:lpstr>Income Statement</vt:lpstr>
      <vt:lpstr>Rough Sheet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2026-06-16T18:02:43Z</dcterms:created>
  <dcterms:modified xsi:type="dcterms:W3CDTF">2026-06-19T12:36:34Z</dcterms:modified>
</cp:coreProperties>
</file>