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startbootstrap-clean-blog-gh-pages\startbootstrap-clean-blog-gh-pages\assets\models\"/>
    </mc:Choice>
  </mc:AlternateContent>
  <xr:revisionPtr revIDLastSave="0" documentId="13_ncr:1_{E3AEEB0F-F963-4FC6-ABBF-15B373B079E9}" xr6:coauthVersionLast="47" xr6:coauthVersionMax="47" xr10:uidLastSave="{00000000-0000-0000-0000-000000000000}"/>
  <bookViews>
    <workbookView xWindow="-110" yWindow="-110" windowWidth="19420" windowHeight="10300" firstSheet="1" activeTab="4" xr2:uid="{E0B1C313-72C6-44D8-B4FF-58EBAD9627F7}"/>
  </bookViews>
  <sheets>
    <sheet name="Cover" sheetId="1" r:id="rId1"/>
    <sheet name="Summary" sheetId="8" r:id="rId2"/>
    <sheet name="Assumptions" sheetId="7" r:id="rId3"/>
    <sheet name="Scenarios" sheetId="2" r:id="rId4"/>
    <sheet name="Schedules" sheetId="6" r:id="rId5"/>
    <sheet name="Financial Statements" sheetId="5" r:id="rId6"/>
    <sheet name="DCF Valuation" sheetId="4" r:id="rId7"/>
    <sheet name="Relative Valuation" sheetId="3" r:id="rId8"/>
    <sheet name="Data Sheets&lt;" sheetId="9" r:id="rId9"/>
    <sheet name="Raw Data" sheetId="11" r:id="rId10"/>
    <sheet name="Beta" sheetId="10" r:id="rId11"/>
    <sheet name="RegressionRV" sheetId="14" r:id="rId12"/>
  </sheets>
  <definedNames>
    <definedName name="TornadoX">INDIRECT(#REF!)</definedName>
    <definedName name="TornadoY">OFFSET(INDIRECT(#REF!),0,#REF!)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8" l="1"/>
  <c r="C20" i="8"/>
  <c r="C19" i="8"/>
  <c r="C16" i="8"/>
  <c r="C15" i="8"/>
  <c r="C14" i="8"/>
  <c r="C13" i="8"/>
  <c r="D24" i="2"/>
  <c r="C10" i="8"/>
  <c r="C7" i="8"/>
  <c r="B59" i="8"/>
  <c r="A18" i="14" a="1"/>
  <c r="A18" i="14" s="1"/>
  <c r="F53" i="4" l="1"/>
  <c r="I37" i="4"/>
  <c r="E12" i="10"/>
  <c r="G3" i="10" s="1"/>
  <c r="J29" i="6"/>
  <c r="J30" i="6"/>
  <c r="P33" i="7"/>
  <c r="S23" i="6" s="1"/>
  <c r="P19" i="7"/>
  <c r="P20" i="7" s="1"/>
  <c r="J14" i="6"/>
  <c r="P21" i="7"/>
  <c r="S15" i="6" s="1"/>
  <c r="P31" i="7"/>
  <c r="G11" i="10"/>
  <c r="H11" i="10" s="1"/>
  <c r="G10" i="10"/>
  <c r="H10" i="10" s="1"/>
  <c r="V9" i="10"/>
  <c r="G9" i="10"/>
  <c r="H9" i="10" s="1"/>
  <c r="G8" i="10"/>
  <c r="H8" i="10" s="1"/>
  <c r="Q7" i="10"/>
  <c r="C7" i="10"/>
  <c r="B7" i="10"/>
  <c r="G7" i="10" s="1"/>
  <c r="H7" i="10" s="1"/>
  <c r="Q6" i="10"/>
  <c r="C6" i="10"/>
  <c r="B6" i="10"/>
  <c r="G6" i="10" s="1"/>
  <c r="H6" i="10" s="1"/>
  <c r="Q5" i="10"/>
  <c r="C5" i="10"/>
  <c r="B5" i="10"/>
  <c r="G5" i="10" s="1"/>
  <c r="H5" i="10" s="1"/>
  <c r="K4" i="10"/>
  <c r="G4" i="10"/>
  <c r="H4" i="10" s="1"/>
  <c r="C4" i="10"/>
  <c r="C3" i="10"/>
  <c r="B267" i="11"/>
  <c r="B266" i="11"/>
  <c r="B265" i="11"/>
  <c r="J152" i="11"/>
  <c r="K151" i="11" s="1"/>
  <c r="D128" i="11"/>
  <c r="I234" i="6" s="1"/>
  <c r="J232" i="6" s="1"/>
  <c r="I113" i="11"/>
  <c r="H113" i="11"/>
  <c r="G113" i="11"/>
  <c r="F109" i="11"/>
  <c r="D109" i="11"/>
  <c r="C109" i="11"/>
  <c r="B109" i="11"/>
  <c r="F108" i="11"/>
  <c r="F107" i="11"/>
  <c r="D106" i="11"/>
  <c r="D105" i="11"/>
  <c r="D104" i="11"/>
  <c r="H102" i="11"/>
  <c r="G102" i="11"/>
  <c r="D102" i="11"/>
  <c r="D101" i="11"/>
  <c r="D100" i="11"/>
  <c r="D97" i="11"/>
  <c r="D94" i="11"/>
  <c r="D91" i="11"/>
  <c r="I86" i="11"/>
  <c r="I85" i="11"/>
  <c r="G78" i="11"/>
  <c r="G81" i="11" s="1"/>
  <c r="F78" i="11"/>
  <c r="F81" i="11" s="1"/>
  <c r="E78" i="11"/>
  <c r="E81" i="11" s="1"/>
  <c r="D78" i="11"/>
  <c r="D81" i="11" s="1"/>
  <c r="C78" i="11"/>
  <c r="C81" i="11" s="1"/>
  <c r="B78" i="11"/>
  <c r="B81" i="11" s="1"/>
  <c r="L77" i="11"/>
  <c r="L76" i="11"/>
  <c r="L75" i="11"/>
  <c r="E70" i="11"/>
  <c r="D70" i="11"/>
  <c r="C70" i="11"/>
  <c r="B70" i="11"/>
  <c r="J68" i="11"/>
  <c r="I68" i="11"/>
  <c r="H68" i="11"/>
  <c r="K67" i="11"/>
  <c r="I66" i="11"/>
  <c r="H66" i="11"/>
  <c r="S65" i="11"/>
  <c r="S64" i="11"/>
  <c r="R64" i="11"/>
  <c r="Q64" i="11"/>
  <c r="P64" i="11"/>
  <c r="O64" i="11"/>
  <c r="N64" i="11"/>
  <c r="S63" i="11"/>
  <c r="R63" i="11"/>
  <c r="Q63" i="11"/>
  <c r="P63" i="11"/>
  <c r="O63" i="11"/>
  <c r="N63" i="11"/>
  <c r="S62" i="11"/>
  <c r="R62" i="11"/>
  <c r="Q62" i="11"/>
  <c r="P62" i="11"/>
  <c r="O62" i="11"/>
  <c r="N62" i="11"/>
  <c r="R61" i="11"/>
  <c r="Q61" i="11"/>
  <c r="P61" i="11"/>
  <c r="O61" i="11"/>
  <c r="N61" i="11"/>
  <c r="M60" i="11"/>
  <c r="K60" i="11"/>
  <c r="N59" i="11"/>
  <c r="M59" i="11"/>
  <c r="L59" i="11"/>
  <c r="K59" i="11"/>
  <c r="J59" i="11"/>
  <c r="I59" i="11"/>
  <c r="H59" i="11"/>
  <c r="F59" i="11"/>
  <c r="F65" i="11" s="1"/>
  <c r="E59" i="11"/>
  <c r="E65" i="11" s="1"/>
  <c r="D59" i="11"/>
  <c r="D65" i="11" s="1"/>
  <c r="C59" i="11"/>
  <c r="B59" i="11"/>
  <c r="B65" i="11" s="1"/>
  <c r="E58" i="11"/>
  <c r="D58" i="11"/>
  <c r="C58" i="11"/>
  <c r="B58" i="11"/>
  <c r="M57" i="11"/>
  <c r="L57" i="11"/>
  <c r="K57" i="11"/>
  <c r="J57" i="11"/>
  <c r="I57" i="11"/>
  <c r="H57" i="11"/>
  <c r="P55" i="11"/>
  <c r="O55" i="11"/>
  <c r="N55" i="11"/>
  <c r="M55" i="11"/>
  <c r="L55" i="11"/>
  <c r="K55" i="11"/>
  <c r="J55" i="11"/>
  <c r="I55" i="11"/>
  <c r="H55" i="11"/>
  <c r="J53" i="11"/>
  <c r="I53" i="11"/>
  <c r="H53" i="11"/>
  <c r="O47" i="11"/>
  <c r="N47" i="11"/>
  <c r="M47" i="11"/>
  <c r="L47" i="11"/>
  <c r="K47" i="11"/>
  <c r="J47" i="11"/>
  <c r="I47" i="11"/>
  <c r="H47" i="11"/>
  <c r="E47" i="11"/>
  <c r="D45" i="11"/>
  <c r="G41" i="11"/>
  <c r="E41" i="11"/>
  <c r="C41" i="11"/>
  <c r="H40" i="11"/>
  <c r="K39" i="11"/>
  <c r="L39" i="11" s="1"/>
  <c r="J39" i="11"/>
  <c r="K38" i="11"/>
  <c r="L38" i="11" s="1"/>
  <c r="J38" i="11"/>
  <c r="N37" i="11"/>
  <c r="K37" i="11"/>
  <c r="L37" i="11" s="1"/>
  <c r="J37" i="11"/>
  <c r="N36" i="11"/>
  <c r="K36" i="11"/>
  <c r="L36" i="11" s="1"/>
  <c r="J36" i="11"/>
  <c r="N35" i="11"/>
  <c r="K35" i="11"/>
  <c r="L35" i="11" s="1"/>
  <c r="J35" i="11"/>
  <c r="N34" i="11"/>
  <c r="K34" i="11"/>
  <c r="L34" i="11" s="1"/>
  <c r="J34" i="11"/>
  <c r="N33" i="11"/>
  <c r="K33" i="11"/>
  <c r="L33" i="11" s="1"/>
  <c r="J33" i="11"/>
  <c r="N32" i="11"/>
  <c r="K32" i="11"/>
  <c r="L32" i="11" s="1"/>
  <c r="J32" i="11"/>
  <c r="N31" i="11"/>
  <c r="K31" i="11"/>
  <c r="L31" i="11" s="1"/>
  <c r="J31" i="11"/>
  <c r="N30" i="11"/>
  <c r="K30" i="11"/>
  <c r="L30" i="11" s="1"/>
  <c r="J30" i="11"/>
  <c r="N29" i="11"/>
  <c r="K29" i="11"/>
  <c r="L29" i="11" s="1"/>
  <c r="J29" i="11"/>
  <c r="N28" i="11"/>
  <c r="K28" i="11"/>
  <c r="L28" i="11" s="1"/>
  <c r="J28" i="11"/>
  <c r="N27" i="11"/>
  <c r="K27" i="11"/>
  <c r="L27" i="11" s="1"/>
  <c r="J27" i="11"/>
  <c r="N26" i="11"/>
  <c r="K26" i="11"/>
  <c r="L26" i="11" s="1"/>
  <c r="J26" i="11"/>
  <c r="K25" i="11"/>
  <c r="I25" i="11"/>
  <c r="G20" i="11"/>
  <c r="J19" i="11"/>
  <c r="J20" i="11" s="1"/>
  <c r="I19" i="11"/>
  <c r="I20" i="11" s="1"/>
  <c r="I21" i="11" s="1"/>
  <c r="AC18" i="11"/>
  <c r="AE18" i="11" s="1"/>
  <c r="AF18" i="11" s="1"/>
  <c r="V16" i="11"/>
  <c r="T16" i="11"/>
  <c r="Y14" i="11"/>
  <c r="AC13" i="11"/>
  <c r="AE13" i="11" s="1"/>
  <c r="Y13" i="11"/>
  <c r="X13" i="11"/>
  <c r="X14" i="11" s="1"/>
  <c r="F13" i="11"/>
  <c r="X12" i="11"/>
  <c r="I11" i="11"/>
  <c r="V10" i="11"/>
  <c r="T10" i="11"/>
  <c r="N10" i="11"/>
  <c r="G9" i="11"/>
  <c r="AC8" i="11"/>
  <c r="AE8" i="11" s="1"/>
  <c r="AF8" i="11" s="1"/>
  <c r="X7" i="11"/>
  <c r="N7" i="11"/>
  <c r="O7" i="11" s="1"/>
  <c r="J7" i="11"/>
  <c r="J6" i="11"/>
  <c r="D6" i="11"/>
  <c r="J5" i="11"/>
  <c r="D5" i="11"/>
  <c r="AC4" i="11"/>
  <c r="AE4" i="11" s="1"/>
  <c r="J4" i="11"/>
  <c r="D4" i="11"/>
  <c r="J3" i="11"/>
  <c r="D3" i="11"/>
  <c r="AE2" i="11"/>
  <c r="X2" i="11"/>
  <c r="B33" i="3"/>
  <c r="F32" i="3"/>
  <c r="D26" i="3" a="1"/>
  <c r="D26" i="3" s="1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B2" i="3"/>
  <c r="F52" i="4"/>
  <c r="I33" i="4"/>
  <c r="I30" i="4"/>
  <c r="I27" i="4"/>
  <c r="H9" i="4"/>
  <c r="I7" i="4"/>
  <c r="B4" i="4"/>
  <c r="B2" i="4"/>
  <c r="I139" i="5"/>
  <c r="H139" i="5"/>
  <c r="G139" i="5"/>
  <c r="I136" i="5"/>
  <c r="H136" i="5"/>
  <c r="G136" i="5"/>
  <c r="I135" i="5"/>
  <c r="H135" i="5"/>
  <c r="G135" i="5"/>
  <c r="I134" i="5"/>
  <c r="H134" i="5"/>
  <c r="G134" i="5"/>
  <c r="I133" i="5"/>
  <c r="H133" i="5"/>
  <c r="G133" i="5"/>
  <c r="I132" i="5"/>
  <c r="H132" i="5"/>
  <c r="G132" i="5"/>
  <c r="I127" i="5"/>
  <c r="H127" i="5"/>
  <c r="G127" i="5"/>
  <c r="I126" i="5"/>
  <c r="H126" i="5"/>
  <c r="G126" i="5"/>
  <c r="I125" i="5"/>
  <c r="H125" i="5"/>
  <c r="G125" i="5"/>
  <c r="S124" i="5"/>
  <c r="R124" i="5"/>
  <c r="Q124" i="5"/>
  <c r="P124" i="5"/>
  <c r="O124" i="5"/>
  <c r="N124" i="5"/>
  <c r="M124" i="5"/>
  <c r="L124" i="5"/>
  <c r="K124" i="5"/>
  <c r="J124" i="5"/>
  <c r="I124" i="5"/>
  <c r="H124" i="5"/>
  <c r="G124" i="5"/>
  <c r="I123" i="5"/>
  <c r="H123" i="5"/>
  <c r="G123" i="5"/>
  <c r="I118" i="5"/>
  <c r="H118" i="5"/>
  <c r="G118" i="5"/>
  <c r="I117" i="5"/>
  <c r="H117" i="5"/>
  <c r="G117" i="5"/>
  <c r="I113" i="5"/>
  <c r="P113" i="5" s="1"/>
  <c r="H113" i="5"/>
  <c r="G113" i="5"/>
  <c r="I112" i="5"/>
  <c r="H112" i="5"/>
  <c r="G112" i="5"/>
  <c r="I111" i="5"/>
  <c r="H111" i="5"/>
  <c r="G111" i="5"/>
  <c r="I110" i="5"/>
  <c r="H110" i="5"/>
  <c r="G110" i="5"/>
  <c r="I109" i="5"/>
  <c r="H109" i="5"/>
  <c r="G109" i="5"/>
  <c r="I108" i="5"/>
  <c r="H108" i="5"/>
  <c r="G108" i="5"/>
  <c r="I107" i="5"/>
  <c r="H107" i="5"/>
  <c r="G107" i="5"/>
  <c r="G104" i="5"/>
  <c r="H102" i="5"/>
  <c r="I102" i="5" s="1"/>
  <c r="J102" i="5" s="1"/>
  <c r="K102" i="5" s="1"/>
  <c r="L102" i="5" s="1"/>
  <c r="B99" i="5"/>
  <c r="B97" i="5"/>
  <c r="I91" i="5"/>
  <c r="H91" i="5"/>
  <c r="G91" i="5"/>
  <c r="I86" i="5"/>
  <c r="L86" i="5" s="1"/>
  <c r="H86" i="5"/>
  <c r="G86" i="5"/>
  <c r="I84" i="5"/>
  <c r="H84" i="5"/>
  <c r="G84" i="5"/>
  <c r="I81" i="5"/>
  <c r="I308" i="6" s="1"/>
  <c r="H81" i="5"/>
  <c r="G81" i="5"/>
  <c r="I80" i="5"/>
  <c r="H80" i="5"/>
  <c r="G80" i="5"/>
  <c r="I79" i="5"/>
  <c r="I307" i="6" s="1"/>
  <c r="H79" i="5"/>
  <c r="G79" i="5"/>
  <c r="I78" i="5"/>
  <c r="H78" i="5"/>
  <c r="G78" i="5"/>
  <c r="I77" i="5"/>
  <c r="I304" i="6" s="1"/>
  <c r="H77" i="5"/>
  <c r="G77" i="5"/>
  <c r="I76" i="5"/>
  <c r="I305" i="6" s="1"/>
  <c r="H76" i="5"/>
  <c r="G76" i="5"/>
  <c r="I75" i="5"/>
  <c r="H75" i="5"/>
  <c r="G75" i="5"/>
  <c r="I69" i="5"/>
  <c r="R69" i="5" s="1"/>
  <c r="H69" i="5"/>
  <c r="G69" i="5"/>
  <c r="I68" i="5"/>
  <c r="J68" i="5" s="1"/>
  <c r="H68" i="5"/>
  <c r="G68" i="5"/>
  <c r="I67" i="5"/>
  <c r="H67" i="5"/>
  <c r="G67" i="5"/>
  <c r="I66" i="5"/>
  <c r="H66" i="5"/>
  <c r="G66" i="5"/>
  <c r="I65" i="5"/>
  <c r="H65" i="5"/>
  <c r="G65" i="5"/>
  <c r="I64" i="5"/>
  <c r="H64" i="5"/>
  <c r="G64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I62" i="5"/>
  <c r="H62" i="5"/>
  <c r="G62" i="5"/>
  <c r="I61" i="5"/>
  <c r="H61" i="5"/>
  <c r="G61" i="5"/>
  <c r="I58" i="5"/>
  <c r="I303" i="6" s="1"/>
  <c r="H58" i="5"/>
  <c r="G58" i="5"/>
  <c r="I57" i="5"/>
  <c r="I302" i="6" s="1"/>
  <c r="H57" i="5"/>
  <c r="G57" i="5"/>
  <c r="I56" i="5"/>
  <c r="I301" i="6" s="1"/>
  <c r="H56" i="5"/>
  <c r="G56" i="5"/>
  <c r="I55" i="5"/>
  <c r="H55" i="5"/>
  <c r="G55" i="5"/>
  <c r="I54" i="5"/>
  <c r="H54" i="5"/>
  <c r="G54" i="5"/>
  <c r="G51" i="5"/>
  <c r="H49" i="5"/>
  <c r="H51" i="5" s="1"/>
  <c r="B46" i="5"/>
  <c r="B44" i="5"/>
  <c r="I32" i="5"/>
  <c r="H32" i="5"/>
  <c r="G32" i="5"/>
  <c r="J31" i="5"/>
  <c r="I31" i="5"/>
  <c r="H31" i="5"/>
  <c r="G31" i="5"/>
  <c r="J28" i="5"/>
  <c r="I28" i="5"/>
  <c r="H28" i="5"/>
  <c r="G28" i="5"/>
  <c r="J25" i="5"/>
  <c r="I25" i="5"/>
  <c r="H25" i="5"/>
  <c r="G25" i="5"/>
  <c r="J22" i="5"/>
  <c r="J135" i="5" s="1"/>
  <c r="I22" i="5"/>
  <c r="H22" i="5"/>
  <c r="G22" i="5"/>
  <c r="J19" i="5"/>
  <c r="J108" i="5" s="1"/>
  <c r="I19" i="5"/>
  <c r="H19" i="5"/>
  <c r="G19" i="5"/>
  <c r="J16" i="5"/>
  <c r="J288" i="6" s="1"/>
  <c r="I16" i="5"/>
  <c r="I288" i="6" s="1"/>
  <c r="H16" i="5"/>
  <c r="G16" i="5"/>
  <c r="J13" i="5"/>
  <c r="J287" i="6" s="1"/>
  <c r="I13" i="5"/>
  <c r="I287" i="6" s="1"/>
  <c r="H13" i="5"/>
  <c r="G13" i="5"/>
  <c r="J11" i="5"/>
  <c r="J286" i="6" s="1"/>
  <c r="I11" i="5"/>
  <c r="I286" i="6" s="1"/>
  <c r="H11" i="5"/>
  <c r="G11" i="5"/>
  <c r="G9" i="5"/>
  <c r="H7" i="5"/>
  <c r="B4" i="5"/>
  <c r="B2" i="5"/>
  <c r="I342" i="6"/>
  <c r="J342" i="6" s="1"/>
  <c r="I340" i="6"/>
  <c r="I338" i="6"/>
  <c r="J336" i="6" s="1"/>
  <c r="I333" i="6"/>
  <c r="J331" i="6" s="1"/>
  <c r="S332" i="6"/>
  <c r="S109" i="5" s="1"/>
  <c r="J332" i="6"/>
  <c r="I329" i="6"/>
  <c r="O329" i="6" s="1"/>
  <c r="I328" i="6"/>
  <c r="N328" i="6" s="1"/>
  <c r="I325" i="6"/>
  <c r="G323" i="6"/>
  <c r="H321" i="6"/>
  <c r="B318" i="6"/>
  <c r="B316" i="6"/>
  <c r="I306" i="6"/>
  <c r="I296" i="6" s="1"/>
  <c r="S298" i="6"/>
  <c r="S297" i="6"/>
  <c r="S296" i="6"/>
  <c r="S295" i="6"/>
  <c r="S294" i="6"/>
  <c r="S293" i="6"/>
  <c r="S292" i="6"/>
  <c r="S291" i="6"/>
  <c r="G281" i="6"/>
  <c r="H279" i="6"/>
  <c r="H281" i="6" s="1"/>
  <c r="B276" i="6"/>
  <c r="B274" i="6"/>
  <c r="J267" i="6"/>
  <c r="E250" i="6"/>
  <c r="G248" i="6"/>
  <c r="H246" i="6"/>
  <c r="H248" i="6" s="1"/>
  <c r="C243" i="6"/>
  <c r="B241" i="6"/>
  <c r="I228" i="6"/>
  <c r="I226" i="6"/>
  <c r="J226" i="6" s="1"/>
  <c r="I225" i="6"/>
  <c r="J225" i="6" s="1"/>
  <c r="K225" i="6" s="1"/>
  <c r="L225" i="6" s="1"/>
  <c r="M225" i="6" s="1"/>
  <c r="N225" i="6" s="1"/>
  <c r="O225" i="6" s="1"/>
  <c r="P225" i="6" s="1"/>
  <c r="Q225" i="6" s="1"/>
  <c r="R225" i="6" s="1"/>
  <c r="G223" i="6"/>
  <c r="H221" i="6"/>
  <c r="I221" i="6" s="1"/>
  <c r="B218" i="6"/>
  <c r="B216" i="6"/>
  <c r="E194" i="6"/>
  <c r="E193" i="6"/>
  <c r="G189" i="6"/>
  <c r="H187" i="6"/>
  <c r="C184" i="6"/>
  <c r="C182" i="6"/>
  <c r="I176" i="6"/>
  <c r="J174" i="6" s="1"/>
  <c r="E172" i="6"/>
  <c r="K170" i="6"/>
  <c r="L170" i="6" s="1"/>
  <c r="M170" i="6" s="1"/>
  <c r="N170" i="6" s="1"/>
  <c r="O170" i="6" s="1"/>
  <c r="P170" i="6" s="1"/>
  <c r="Q170" i="6" s="1"/>
  <c r="R170" i="6" s="1"/>
  <c r="I169" i="6"/>
  <c r="I209" i="6" s="1"/>
  <c r="J195" i="6" s="1"/>
  <c r="I164" i="6"/>
  <c r="J124" i="6" s="1"/>
  <c r="J144" i="6"/>
  <c r="U138" i="6"/>
  <c r="U129" i="6"/>
  <c r="J126" i="6"/>
  <c r="E121" i="6"/>
  <c r="E120" i="6"/>
  <c r="E122" i="6" s="1"/>
  <c r="E119" i="6"/>
  <c r="G116" i="6"/>
  <c r="H114" i="6"/>
  <c r="I114" i="6" s="1"/>
  <c r="C111" i="6"/>
  <c r="B109" i="6"/>
  <c r="S105" i="6"/>
  <c r="R105" i="6"/>
  <c r="Q105" i="6"/>
  <c r="P105" i="6"/>
  <c r="O105" i="6"/>
  <c r="N105" i="6"/>
  <c r="M105" i="6"/>
  <c r="L105" i="6"/>
  <c r="K105" i="6"/>
  <c r="J103" i="6"/>
  <c r="J102" i="6"/>
  <c r="S101" i="6"/>
  <c r="R101" i="6"/>
  <c r="Q101" i="6"/>
  <c r="P101" i="6"/>
  <c r="O101" i="6"/>
  <c r="N101" i="6"/>
  <c r="M101" i="6"/>
  <c r="L101" i="6"/>
  <c r="K101" i="6"/>
  <c r="J99" i="6"/>
  <c r="S98" i="6"/>
  <c r="R98" i="6"/>
  <c r="Q98" i="6"/>
  <c r="P98" i="6"/>
  <c r="O98" i="6"/>
  <c r="N98" i="6"/>
  <c r="M98" i="6"/>
  <c r="L98" i="6"/>
  <c r="K98" i="6"/>
  <c r="J96" i="6"/>
  <c r="S92" i="6"/>
  <c r="K92" i="6" s="1"/>
  <c r="L92" i="6" s="1"/>
  <c r="M92" i="6" s="1"/>
  <c r="N92" i="6" s="1"/>
  <c r="O92" i="6" s="1"/>
  <c r="P92" i="6" s="1"/>
  <c r="Q92" i="6" s="1"/>
  <c r="R92" i="6" s="1"/>
  <c r="G86" i="6"/>
  <c r="H84" i="6"/>
  <c r="H86" i="6" s="1"/>
  <c r="C81" i="6"/>
  <c r="B79" i="6"/>
  <c r="J74" i="6"/>
  <c r="S72" i="6"/>
  <c r="J71" i="6"/>
  <c r="J70" i="6"/>
  <c r="J68" i="6"/>
  <c r="S63" i="6"/>
  <c r="R63" i="6"/>
  <c r="Q63" i="6"/>
  <c r="P63" i="6"/>
  <c r="O63" i="6"/>
  <c r="N63" i="6"/>
  <c r="M63" i="6"/>
  <c r="L63" i="6"/>
  <c r="K63" i="6"/>
  <c r="U61" i="6"/>
  <c r="S60" i="6"/>
  <c r="R60" i="6"/>
  <c r="Q60" i="6"/>
  <c r="P60" i="6"/>
  <c r="O60" i="6"/>
  <c r="N60" i="6"/>
  <c r="M60" i="6"/>
  <c r="L60" i="6"/>
  <c r="K60" i="6"/>
  <c r="U58" i="6"/>
  <c r="J53" i="6"/>
  <c r="J52" i="6"/>
  <c r="C9" i="8" s="1"/>
  <c r="J51" i="6"/>
  <c r="K51" i="6" s="1"/>
  <c r="L51" i="6" s="1"/>
  <c r="M51" i="6" s="1"/>
  <c r="N51" i="6" s="1"/>
  <c r="O51" i="6" s="1"/>
  <c r="P51" i="6" s="1"/>
  <c r="Q51" i="6" s="1"/>
  <c r="R51" i="6" s="1"/>
  <c r="S51" i="6" s="1"/>
  <c r="S46" i="6"/>
  <c r="R46" i="6"/>
  <c r="Q46" i="6"/>
  <c r="P46" i="6"/>
  <c r="O46" i="6"/>
  <c r="N46" i="6"/>
  <c r="M46" i="6"/>
  <c r="L46" i="6"/>
  <c r="K46" i="6"/>
  <c r="E42" i="6"/>
  <c r="S40" i="6"/>
  <c r="R40" i="6"/>
  <c r="Q40" i="6"/>
  <c r="P40" i="6"/>
  <c r="O40" i="6"/>
  <c r="N40" i="6"/>
  <c r="M40" i="6"/>
  <c r="L40" i="6"/>
  <c r="K40" i="6"/>
  <c r="J40" i="6"/>
  <c r="S39" i="6"/>
  <c r="R39" i="6"/>
  <c r="Q39" i="6"/>
  <c r="P39" i="6"/>
  <c r="O39" i="6"/>
  <c r="N39" i="6"/>
  <c r="M39" i="6"/>
  <c r="L39" i="6"/>
  <c r="K39" i="6"/>
  <c r="J36" i="6"/>
  <c r="J35" i="6"/>
  <c r="S28" i="6"/>
  <c r="R28" i="6"/>
  <c r="Q28" i="6"/>
  <c r="P28" i="6"/>
  <c r="O28" i="6"/>
  <c r="N28" i="6"/>
  <c r="M28" i="6"/>
  <c r="L28" i="6"/>
  <c r="K28" i="6"/>
  <c r="J26" i="6"/>
  <c r="S25" i="6"/>
  <c r="R25" i="6"/>
  <c r="Q25" i="6"/>
  <c r="P25" i="6"/>
  <c r="O25" i="6"/>
  <c r="N25" i="6"/>
  <c r="M25" i="6"/>
  <c r="L25" i="6"/>
  <c r="K25" i="6"/>
  <c r="J23" i="6"/>
  <c r="J22" i="6"/>
  <c r="J18" i="6"/>
  <c r="S17" i="6"/>
  <c r="R17" i="6"/>
  <c r="Q17" i="6"/>
  <c r="P17" i="6"/>
  <c r="O17" i="6"/>
  <c r="N17" i="6"/>
  <c r="M17" i="6"/>
  <c r="L17" i="6"/>
  <c r="K17" i="6"/>
  <c r="J13" i="6"/>
  <c r="G9" i="6"/>
  <c r="H7" i="6"/>
  <c r="I7" i="6" s="1"/>
  <c r="J7" i="6" s="1"/>
  <c r="K7" i="6" s="1"/>
  <c r="L7" i="6" s="1"/>
  <c r="C4" i="6"/>
  <c r="B2" i="6"/>
  <c r="E24" i="2"/>
  <c r="H50" i="7"/>
  <c r="S35" i="6" s="1"/>
  <c r="E15" i="2"/>
  <c r="C15" i="2"/>
  <c r="B5" i="2"/>
  <c r="B2" i="2"/>
  <c r="P140" i="7"/>
  <c r="F49" i="4" s="1"/>
  <c r="H112" i="7"/>
  <c r="S103" i="6" s="1"/>
  <c r="H111" i="7"/>
  <c r="S102" i="6" s="1"/>
  <c r="H110" i="7"/>
  <c r="S99" i="6" s="1"/>
  <c r="H109" i="7"/>
  <c r="S96" i="6" s="1"/>
  <c r="H98" i="7"/>
  <c r="H97" i="7"/>
  <c r="H95" i="7"/>
  <c r="H89" i="7"/>
  <c r="H88" i="7"/>
  <c r="S73" i="6" s="1"/>
  <c r="H87" i="7"/>
  <c r="J73" i="6" s="1"/>
  <c r="P85" i="7"/>
  <c r="S71" i="6" s="1"/>
  <c r="H84" i="7"/>
  <c r="J69" i="6" s="1"/>
  <c r="P82" i="7"/>
  <c r="J72" i="6" s="1"/>
  <c r="H71" i="7"/>
  <c r="J55" i="6" s="1"/>
  <c r="H70" i="7"/>
  <c r="P63" i="7"/>
  <c r="S55" i="6" s="1"/>
  <c r="H63" i="7"/>
  <c r="H62" i="7"/>
  <c r="H59" i="7"/>
  <c r="H58" i="7"/>
  <c r="P57" i="7"/>
  <c r="S53" i="6" s="1"/>
  <c r="H57" i="7"/>
  <c r="H48" i="7"/>
  <c r="H46" i="7"/>
  <c r="H43" i="7"/>
  <c r="P37" i="7"/>
  <c r="P38" i="7" s="1"/>
  <c r="J37" i="6" s="1"/>
  <c r="P34" i="7"/>
  <c r="H33" i="7"/>
  <c r="S18" i="6" s="1"/>
  <c r="H32" i="7"/>
  <c r="S13" i="6" s="1"/>
  <c r="P15" i="7"/>
  <c r="J15" i="6" s="1"/>
  <c r="H15" i="7"/>
  <c r="H13" i="7"/>
  <c r="J8" i="7"/>
  <c r="B2" i="7"/>
  <c r="N86" i="8"/>
  <c r="M86" i="8"/>
  <c r="L86" i="8"/>
  <c r="K86" i="8"/>
  <c r="N85" i="8"/>
  <c r="M85" i="8"/>
  <c r="L85" i="8"/>
  <c r="K85" i="8"/>
  <c r="N84" i="8"/>
  <c r="M84" i="8"/>
  <c r="L84" i="8"/>
  <c r="K84" i="8"/>
  <c r="N83" i="8"/>
  <c r="M83" i="8"/>
  <c r="L83" i="8"/>
  <c r="K83" i="8"/>
  <c r="N82" i="8"/>
  <c r="M82" i="8"/>
  <c r="L82" i="8"/>
  <c r="K82" i="8"/>
  <c r="N81" i="8"/>
  <c r="M81" i="8"/>
  <c r="L81" i="8"/>
  <c r="K81" i="8"/>
  <c r="N80" i="8"/>
  <c r="M80" i="8"/>
  <c r="L80" i="8"/>
  <c r="K80" i="8"/>
  <c r="N79" i="8"/>
  <c r="M79" i="8"/>
  <c r="L79" i="8"/>
  <c r="K79" i="8"/>
  <c r="N78" i="8"/>
  <c r="M78" i="8"/>
  <c r="L78" i="8"/>
  <c r="K78" i="8"/>
  <c r="N77" i="8"/>
  <c r="M77" i="8"/>
  <c r="L77" i="8"/>
  <c r="K77" i="8"/>
  <c r="N76" i="8"/>
  <c r="M76" i="8"/>
  <c r="L76" i="8"/>
  <c r="K76" i="8"/>
  <c r="N75" i="8"/>
  <c r="M75" i="8"/>
  <c r="L75" i="8"/>
  <c r="K75" i="8"/>
  <c r="N74" i="8"/>
  <c r="M74" i="8"/>
  <c r="L74" i="8"/>
  <c r="K74" i="8"/>
  <c r="N73" i="8"/>
  <c r="M73" i="8"/>
  <c r="L73" i="8"/>
  <c r="K73" i="8"/>
  <c r="N72" i="8"/>
  <c r="M72" i="8"/>
  <c r="L72" i="8"/>
  <c r="K72" i="8"/>
  <c r="N71" i="8"/>
  <c r="M71" i="8"/>
  <c r="L71" i="8"/>
  <c r="K71" i="8"/>
  <c r="N70" i="8"/>
  <c r="M70" i="8"/>
  <c r="L70" i="8"/>
  <c r="K70" i="8"/>
  <c r="N67" i="8"/>
  <c r="M67" i="8"/>
  <c r="L67" i="8"/>
  <c r="K67" i="8"/>
  <c r="D60" i="8"/>
  <c r="B50" i="8"/>
  <c r="B2" i="8"/>
  <c r="I309" i="6" l="1"/>
  <c r="N3" i="10"/>
  <c r="N4" i="10"/>
  <c r="N89" i="8"/>
  <c r="J296" i="6"/>
  <c r="K296" i="6" s="1"/>
  <c r="L296" i="6" s="1"/>
  <c r="M296" i="6" s="1"/>
  <c r="N296" i="6" s="1"/>
  <c r="O296" i="6" s="1"/>
  <c r="P296" i="6" s="1"/>
  <c r="Q296" i="6" s="1"/>
  <c r="R296" i="6" s="1"/>
  <c r="K30" i="6"/>
  <c r="L30" i="6" s="1"/>
  <c r="M30" i="6" s="1"/>
  <c r="N30" i="6" s="1"/>
  <c r="O30" i="6" s="1"/>
  <c r="P30" i="6" s="1"/>
  <c r="Q30" i="6" s="1"/>
  <c r="R30" i="6" s="1"/>
  <c r="S30" i="6" s="1"/>
  <c r="H87" i="5"/>
  <c r="C8" i="8"/>
  <c r="H129" i="5"/>
  <c r="H14" i="5"/>
  <c r="H17" i="5" s="1"/>
  <c r="H37" i="5" s="1"/>
  <c r="K88" i="8"/>
  <c r="N329" i="6"/>
  <c r="I14" i="5"/>
  <c r="I87" i="5"/>
  <c r="U26" i="6"/>
  <c r="Q329" i="6"/>
  <c r="L88" i="8"/>
  <c r="M88" i="8"/>
  <c r="J166" i="6"/>
  <c r="J168" i="6" s="1"/>
  <c r="S329" i="6"/>
  <c r="B83" i="11"/>
  <c r="U63" i="6"/>
  <c r="O86" i="5"/>
  <c r="O113" i="5"/>
  <c r="U46" i="6"/>
  <c r="I292" i="6"/>
  <c r="J292" i="6" s="1"/>
  <c r="K292" i="6" s="1"/>
  <c r="L292" i="6" s="1"/>
  <c r="M292" i="6" s="1"/>
  <c r="N292" i="6" s="1"/>
  <c r="O292" i="6" s="1"/>
  <c r="P292" i="6" s="1"/>
  <c r="Q292" i="6" s="1"/>
  <c r="R292" i="6" s="1"/>
  <c r="G59" i="5"/>
  <c r="Q86" i="5"/>
  <c r="Q113" i="5"/>
  <c r="G129" i="5"/>
  <c r="H9" i="6"/>
  <c r="U130" i="6"/>
  <c r="U131" i="6" s="1"/>
  <c r="U132" i="6" s="1"/>
  <c r="U133" i="6" s="1"/>
  <c r="U134" i="6" s="1"/>
  <c r="U135" i="6" s="1"/>
  <c r="U136" i="6" s="1"/>
  <c r="U137" i="6" s="1"/>
  <c r="H59" i="5"/>
  <c r="K104" i="5"/>
  <c r="S113" i="5"/>
  <c r="G42" i="11"/>
  <c r="B268" i="11"/>
  <c r="I279" i="6"/>
  <c r="D66" i="11"/>
  <c r="I246" i="6"/>
  <c r="J246" i="6" s="1"/>
  <c r="K246" i="6" s="1"/>
  <c r="L246" i="6" s="1"/>
  <c r="H9" i="5"/>
  <c r="I7" i="5"/>
  <c r="K5" i="11"/>
  <c r="L5" i="11" s="1"/>
  <c r="AE19" i="11"/>
  <c r="AF19" i="11" s="1"/>
  <c r="H223" i="6"/>
  <c r="L104" i="5"/>
  <c r="M102" i="5"/>
  <c r="H115" i="5"/>
  <c r="H120" i="5" s="1"/>
  <c r="U105" i="6"/>
  <c r="H104" i="5"/>
  <c r="I115" i="5"/>
  <c r="I120" i="5" s="1"/>
  <c r="D7" i="11"/>
  <c r="F7" i="11" s="1"/>
  <c r="J31" i="6" s="1"/>
  <c r="C65" i="11"/>
  <c r="C66" i="11" s="1"/>
  <c r="C60" i="11"/>
  <c r="B60" i="11"/>
  <c r="J58" i="6"/>
  <c r="K35" i="6"/>
  <c r="L35" i="6" s="1"/>
  <c r="M35" i="6" s="1"/>
  <c r="N35" i="6" s="1"/>
  <c r="O35" i="6" s="1"/>
  <c r="P35" i="6" s="1"/>
  <c r="Q35" i="6" s="1"/>
  <c r="R35" i="6" s="1"/>
  <c r="S342" i="6"/>
  <c r="R342" i="6"/>
  <c r="Q342" i="6"/>
  <c r="M342" i="6"/>
  <c r="K342" i="6"/>
  <c r="S66" i="5"/>
  <c r="R66" i="5"/>
  <c r="Q66" i="5"/>
  <c r="N66" i="5"/>
  <c r="K66" i="5"/>
  <c r="J66" i="5"/>
  <c r="G82" i="5"/>
  <c r="J104" i="5"/>
  <c r="D60" i="11"/>
  <c r="H70" i="5"/>
  <c r="G138" i="5"/>
  <c r="N88" i="8"/>
  <c r="J19" i="6"/>
  <c r="U39" i="6"/>
  <c r="J54" i="6"/>
  <c r="J329" i="6"/>
  <c r="J14" i="5"/>
  <c r="J17" i="5" s="1"/>
  <c r="I70" i="5"/>
  <c r="J113" i="5"/>
  <c r="J40" i="11"/>
  <c r="K89" i="8"/>
  <c r="K329" i="6"/>
  <c r="K86" i="5"/>
  <c r="J111" i="5"/>
  <c r="K113" i="5"/>
  <c r="I138" i="5"/>
  <c r="D34" i="3"/>
  <c r="L89" i="8"/>
  <c r="L329" i="6"/>
  <c r="J333" i="6"/>
  <c r="K331" i="6" s="1"/>
  <c r="I293" i="6"/>
  <c r="J293" i="6" s="1"/>
  <c r="J303" i="6" s="1"/>
  <c r="J58" i="5" s="1"/>
  <c r="M86" i="5"/>
  <c r="M113" i="5"/>
  <c r="M89" i="8"/>
  <c r="K72" i="6"/>
  <c r="L72" i="6" s="1"/>
  <c r="M72" i="6" s="1"/>
  <c r="N72" i="6" s="1"/>
  <c r="O72" i="6" s="1"/>
  <c r="P72" i="6" s="1"/>
  <c r="Q72" i="6" s="1"/>
  <c r="R72" i="6" s="1"/>
  <c r="P39" i="7"/>
  <c r="U60" i="6"/>
  <c r="U101" i="6"/>
  <c r="H116" i="6"/>
  <c r="M329" i="6"/>
  <c r="G87" i="5"/>
  <c r="N86" i="5"/>
  <c r="N113" i="5"/>
  <c r="AE5" i="11"/>
  <c r="AF5" i="11" s="1"/>
  <c r="L25" i="11"/>
  <c r="L41" i="11" s="1"/>
  <c r="M41" i="11" s="1"/>
  <c r="U28" i="6"/>
  <c r="P32" i="7"/>
  <c r="S14" i="6"/>
  <c r="P22" i="7"/>
  <c r="U17" i="6"/>
  <c r="M7" i="6"/>
  <c r="M41" i="6" s="1"/>
  <c r="L9" i="6"/>
  <c r="I116" i="6"/>
  <c r="J114" i="6"/>
  <c r="K102" i="6"/>
  <c r="L102" i="6" s="1"/>
  <c r="M102" i="6" s="1"/>
  <c r="N102" i="6" s="1"/>
  <c r="O102" i="6" s="1"/>
  <c r="P102" i="6" s="1"/>
  <c r="Q102" i="6" s="1"/>
  <c r="R102" i="6" s="1"/>
  <c r="K73" i="6"/>
  <c r="L73" i="6" s="1"/>
  <c r="M73" i="6" s="1"/>
  <c r="N73" i="6" s="1"/>
  <c r="O73" i="6" s="1"/>
  <c r="P73" i="6" s="1"/>
  <c r="Q73" i="6" s="1"/>
  <c r="R73" i="6" s="1"/>
  <c r="K103" i="6"/>
  <c r="L103" i="6" s="1"/>
  <c r="M103" i="6" s="1"/>
  <c r="N103" i="6" s="1"/>
  <c r="O103" i="6" s="1"/>
  <c r="P103" i="6" s="1"/>
  <c r="Q103" i="6" s="1"/>
  <c r="R103" i="6" s="1"/>
  <c r="U98" i="6"/>
  <c r="I187" i="6"/>
  <c r="H189" i="6"/>
  <c r="I297" i="6"/>
  <c r="J297" i="6" s="1"/>
  <c r="M328" i="6"/>
  <c r="K4" i="11"/>
  <c r="L4" i="11" s="1"/>
  <c r="J21" i="11"/>
  <c r="I9" i="6"/>
  <c r="I84" i="6"/>
  <c r="U25" i="6"/>
  <c r="K40" i="11"/>
  <c r="K41" i="11" s="1"/>
  <c r="K9" i="6"/>
  <c r="P226" i="6"/>
  <c r="O226" i="6"/>
  <c r="M226" i="6"/>
  <c r="Q226" i="6"/>
  <c r="N226" i="6"/>
  <c r="L226" i="6"/>
  <c r="I344" i="6"/>
  <c r="K69" i="6"/>
  <c r="L69" i="6" s="1"/>
  <c r="K226" i="6"/>
  <c r="I59" i="5"/>
  <c r="I143" i="5"/>
  <c r="J142" i="5" s="1"/>
  <c r="L68" i="5"/>
  <c r="P68" i="5"/>
  <c r="O68" i="5"/>
  <c r="M68" i="5"/>
  <c r="R68" i="5"/>
  <c r="Q68" i="5"/>
  <c r="N68" i="5"/>
  <c r="K68" i="5"/>
  <c r="AF13" i="11"/>
  <c r="AE14" i="11"/>
  <c r="AF14" i="11" s="1"/>
  <c r="I236" i="6"/>
  <c r="J110" i="5" s="1"/>
  <c r="J127" i="5"/>
  <c r="E230" i="6"/>
  <c r="I17" i="5"/>
  <c r="I36" i="5"/>
  <c r="J9" i="6"/>
  <c r="J89" i="6"/>
  <c r="N25" i="11" s="1"/>
  <c r="J221" i="6"/>
  <c r="I223" i="6"/>
  <c r="R226" i="6"/>
  <c r="I298" i="6"/>
  <c r="J298" i="6" s="1"/>
  <c r="J175" i="6"/>
  <c r="J176" i="6" s="1"/>
  <c r="M325" i="6"/>
  <c r="N325" i="6"/>
  <c r="L325" i="6"/>
  <c r="S325" i="6"/>
  <c r="J325" i="6"/>
  <c r="Q325" i="6"/>
  <c r="P325" i="6"/>
  <c r="O325" i="6"/>
  <c r="K325" i="6"/>
  <c r="R325" i="6"/>
  <c r="O69" i="5"/>
  <c r="K69" i="5"/>
  <c r="S69" i="5"/>
  <c r="J69" i="5"/>
  <c r="Q69" i="5"/>
  <c r="P69" i="5"/>
  <c r="N69" i="5"/>
  <c r="M69" i="5"/>
  <c r="L69" i="5"/>
  <c r="R328" i="6"/>
  <c r="J328" i="6"/>
  <c r="L328" i="6"/>
  <c r="K328" i="6"/>
  <c r="Q328" i="6"/>
  <c r="S328" i="6"/>
  <c r="P328" i="6"/>
  <c r="O328" i="6"/>
  <c r="K18" i="6"/>
  <c r="L18" i="6" s="1"/>
  <c r="M18" i="6" s="1"/>
  <c r="J90" i="6"/>
  <c r="S226" i="6"/>
  <c r="S68" i="5"/>
  <c r="K96" i="6"/>
  <c r="L96" i="6" s="1"/>
  <c r="M96" i="6" s="1"/>
  <c r="G115" i="5"/>
  <c r="G120" i="5" s="1"/>
  <c r="I13" i="11"/>
  <c r="P11" i="11"/>
  <c r="N11" i="11"/>
  <c r="J41" i="11"/>
  <c r="E66" i="11"/>
  <c r="K71" i="6"/>
  <c r="K99" i="6"/>
  <c r="L99" i="6" s="1"/>
  <c r="M99" i="6" s="1"/>
  <c r="N99" i="6" s="1"/>
  <c r="O99" i="6" s="1"/>
  <c r="P99" i="6" s="1"/>
  <c r="Q99" i="6" s="1"/>
  <c r="R99" i="6" s="1"/>
  <c r="H323" i="6"/>
  <c r="I321" i="6"/>
  <c r="K332" i="6"/>
  <c r="J109" i="5"/>
  <c r="O342" i="6"/>
  <c r="P342" i="6"/>
  <c r="I31" i="4"/>
  <c r="N342" i="6"/>
  <c r="L342" i="6"/>
  <c r="I49" i="5"/>
  <c r="G70" i="5"/>
  <c r="I104" i="5"/>
  <c r="E60" i="11"/>
  <c r="J9" i="10"/>
  <c r="I50" i="4" s="1"/>
  <c r="I295" i="6"/>
  <c r="J295" i="6" s="1"/>
  <c r="M66" i="5"/>
  <c r="P66" i="5"/>
  <c r="O66" i="5"/>
  <c r="L66" i="5"/>
  <c r="H82" i="5"/>
  <c r="I129" i="5"/>
  <c r="AE9" i="11"/>
  <c r="AF9" i="11" s="1"/>
  <c r="G103" i="11"/>
  <c r="G14" i="5"/>
  <c r="I82" i="5"/>
  <c r="I29" i="4"/>
  <c r="H138" i="5"/>
  <c r="I43" i="4"/>
  <c r="I11" i="4"/>
  <c r="I42" i="4" s="1"/>
  <c r="I9" i="4"/>
  <c r="J7" i="4"/>
  <c r="J11" i="4" s="1"/>
  <c r="J42" i="4" s="1"/>
  <c r="P329" i="6"/>
  <c r="P86" i="5"/>
  <c r="R113" i="5"/>
  <c r="Y2" i="11"/>
  <c r="Z2" i="11" s="1"/>
  <c r="AA2" i="11" s="1"/>
  <c r="U15" i="6"/>
  <c r="R329" i="6"/>
  <c r="R86" i="5"/>
  <c r="AF4" i="11"/>
  <c r="J86" i="5"/>
  <c r="S86" i="5"/>
  <c r="L113" i="5"/>
  <c r="U23" i="6"/>
  <c r="E34" i="6"/>
  <c r="K22" i="6"/>
  <c r="K41" i="6"/>
  <c r="H90" i="7"/>
  <c r="K53" i="6"/>
  <c r="J56" i="6"/>
  <c r="K55" i="6"/>
  <c r="L55" i="6" s="1"/>
  <c r="M55" i="6" s="1"/>
  <c r="N55" i="6" s="1"/>
  <c r="O55" i="6" s="1"/>
  <c r="P55" i="6" s="1"/>
  <c r="Q55" i="6" s="1"/>
  <c r="R55" i="6" s="1"/>
  <c r="K13" i="6"/>
  <c r="L41" i="6"/>
  <c r="J41" i="6"/>
  <c r="P87" i="7"/>
  <c r="S70" i="6" s="1"/>
  <c r="S68" i="6" s="1"/>
  <c r="I89" i="5" l="1"/>
  <c r="K23" i="6"/>
  <c r="L23" i="6" s="1"/>
  <c r="M23" i="6" s="1"/>
  <c r="N23" i="6" s="1"/>
  <c r="O23" i="6" s="1"/>
  <c r="P23" i="6" s="1"/>
  <c r="Q23" i="6" s="1"/>
  <c r="R23" i="6" s="1"/>
  <c r="G141" i="5"/>
  <c r="K293" i="6"/>
  <c r="L293" i="6" s="1"/>
  <c r="M293" i="6" s="1"/>
  <c r="N293" i="6" s="1"/>
  <c r="O293" i="6" s="1"/>
  <c r="P293" i="6" s="1"/>
  <c r="Q293" i="6" s="1"/>
  <c r="R293" i="6" s="1"/>
  <c r="J302" i="6"/>
  <c r="J57" i="5" s="1"/>
  <c r="H20" i="5"/>
  <c r="H23" i="5" s="1"/>
  <c r="H26" i="5" s="1"/>
  <c r="H29" i="5" s="1"/>
  <c r="H38" i="5" s="1"/>
  <c r="K15" i="6"/>
  <c r="K14" i="6" s="1"/>
  <c r="K89" i="6" s="1"/>
  <c r="H72" i="5"/>
  <c r="G89" i="5"/>
  <c r="K70" i="6"/>
  <c r="K68" i="6" s="1"/>
  <c r="K74" i="6" s="1"/>
  <c r="H36" i="5"/>
  <c r="AH4" i="11"/>
  <c r="J36" i="5"/>
  <c r="H89" i="5"/>
  <c r="G72" i="5"/>
  <c r="K26" i="6"/>
  <c r="L26" i="6" s="1"/>
  <c r="M26" i="6" s="1"/>
  <c r="AH18" i="11"/>
  <c r="K333" i="6"/>
  <c r="L331" i="6" s="1"/>
  <c r="L42" i="11"/>
  <c r="I72" i="5"/>
  <c r="I93" i="5" s="1"/>
  <c r="K58" i="6"/>
  <c r="L58" i="6" s="1"/>
  <c r="M58" i="6" s="1"/>
  <c r="N58" i="6" s="1"/>
  <c r="O58" i="6" s="1"/>
  <c r="P58" i="6" s="1"/>
  <c r="Q58" i="6" s="1"/>
  <c r="R58" i="6" s="1"/>
  <c r="S58" i="6" s="1"/>
  <c r="B66" i="11"/>
  <c r="S37" i="6"/>
  <c r="U37" i="6" s="1"/>
  <c r="K37" i="6" s="1"/>
  <c r="M104" i="5"/>
  <c r="N102" i="5"/>
  <c r="H141" i="5"/>
  <c r="K248" i="6"/>
  <c r="I283" i="6"/>
  <c r="I281" i="6"/>
  <c r="J279" i="6"/>
  <c r="H72" i="11"/>
  <c r="J61" i="6"/>
  <c r="K61" i="6" s="1"/>
  <c r="L61" i="6" s="1"/>
  <c r="M61" i="6" s="1"/>
  <c r="N61" i="6" s="1"/>
  <c r="O61" i="6" s="1"/>
  <c r="P61" i="6" s="1"/>
  <c r="Q61" i="6" s="1"/>
  <c r="R61" i="6" s="1"/>
  <c r="S61" i="6" s="1"/>
  <c r="I248" i="6"/>
  <c r="J7" i="5"/>
  <c r="I9" i="5"/>
  <c r="D129" i="6"/>
  <c r="D147" i="6" s="1"/>
  <c r="I141" i="5"/>
  <c r="J248" i="6"/>
  <c r="L71" i="6"/>
  <c r="M71" i="6" s="1"/>
  <c r="J43" i="6"/>
  <c r="J47" i="6" s="1"/>
  <c r="S22" i="6"/>
  <c r="L22" i="6"/>
  <c r="S19" i="6"/>
  <c r="K174" i="6"/>
  <c r="J64" i="5"/>
  <c r="J223" i="6"/>
  <c r="K221" i="6"/>
  <c r="I86" i="6"/>
  <c r="J84" i="6"/>
  <c r="I51" i="5"/>
  <c r="J49" i="5"/>
  <c r="J321" i="6"/>
  <c r="I323" i="6"/>
  <c r="N13" i="11"/>
  <c r="K6" i="11"/>
  <c r="L6" i="11" s="1"/>
  <c r="L7" i="11" s="1"/>
  <c r="J20" i="5"/>
  <c r="J23" i="5" s="1"/>
  <c r="J26" i="5" s="1"/>
  <c r="J37" i="5"/>
  <c r="M246" i="6"/>
  <c r="L248" i="6"/>
  <c r="I54" i="4"/>
  <c r="J10" i="10"/>
  <c r="K109" i="5"/>
  <c r="L332" i="6"/>
  <c r="AH13" i="11"/>
  <c r="K297" i="6"/>
  <c r="L297" i="6" s="1"/>
  <c r="M297" i="6" s="1"/>
  <c r="N297" i="6" s="1"/>
  <c r="O297" i="6" s="1"/>
  <c r="P297" i="6" s="1"/>
  <c r="Q297" i="6" s="1"/>
  <c r="R297" i="6" s="1"/>
  <c r="J307" i="6"/>
  <c r="J79" i="5" s="1"/>
  <c r="J43" i="4"/>
  <c r="J9" i="4"/>
  <c r="K7" i="4"/>
  <c r="K11" i="4" s="1"/>
  <c r="K42" i="4" s="1"/>
  <c r="G36" i="5"/>
  <c r="G17" i="5"/>
  <c r="J308" i="6"/>
  <c r="J81" i="5" s="1"/>
  <c r="K298" i="6"/>
  <c r="L298" i="6" s="1"/>
  <c r="M298" i="6" s="1"/>
  <c r="N298" i="6" s="1"/>
  <c r="O298" i="6" s="1"/>
  <c r="P298" i="6" s="1"/>
  <c r="Q298" i="6" s="1"/>
  <c r="R298" i="6" s="1"/>
  <c r="I20" i="5"/>
  <c r="I23" i="5" s="1"/>
  <c r="I26" i="5" s="1"/>
  <c r="I29" i="5" s="1"/>
  <c r="I37" i="5"/>
  <c r="Z4" i="11"/>
  <c r="AA1" i="11"/>
  <c r="J116" i="6"/>
  <c r="K114" i="6"/>
  <c r="AH8" i="11"/>
  <c r="K295" i="6"/>
  <c r="L295" i="6" s="1"/>
  <c r="M295" i="6" s="1"/>
  <c r="N295" i="6" s="1"/>
  <c r="O295" i="6" s="1"/>
  <c r="P295" i="6" s="1"/>
  <c r="Q295" i="6" s="1"/>
  <c r="R295" i="6" s="1"/>
  <c r="J305" i="6"/>
  <c r="I189" i="6"/>
  <c r="J187" i="6"/>
  <c r="M9" i="6"/>
  <c r="N7" i="6"/>
  <c r="S89" i="6"/>
  <c r="N96" i="6"/>
  <c r="L13" i="6"/>
  <c r="L53" i="6"/>
  <c r="M69" i="6"/>
  <c r="L10" i="8"/>
  <c r="S90" i="6"/>
  <c r="N10" i="8"/>
  <c r="N18" i="6"/>
  <c r="J76" i="5" l="1"/>
  <c r="D7" i="8"/>
  <c r="K19" i="6"/>
  <c r="L15" i="6"/>
  <c r="L14" i="6" s="1"/>
  <c r="E7" i="8" s="1"/>
  <c r="H93" i="5"/>
  <c r="J65" i="6"/>
  <c r="J95" i="6" s="1"/>
  <c r="H33" i="5"/>
  <c r="H39" i="5" s="1"/>
  <c r="K29" i="6"/>
  <c r="K31" i="6" s="1"/>
  <c r="D130" i="6" s="1"/>
  <c r="G93" i="5"/>
  <c r="Q54" i="4"/>
  <c r="Q19" i="4" s="1"/>
  <c r="L333" i="6"/>
  <c r="M331" i="6" s="1"/>
  <c r="S36" i="6"/>
  <c r="N8" i="8" s="1"/>
  <c r="L70" i="6"/>
  <c r="L68" i="6" s="1"/>
  <c r="E10" i="8" s="1"/>
  <c r="J169" i="6"/>
  <c r="J62" i="5" s="1"/>
  <c r="K36" i="6"/>
  <c r="D8" i="8" s="1"/>
  <c r="L37" i="6"/>
  <c r="K279" i="6"/>
  <c r="J283" i="6"/>
  <c r="J281" i="6"/>
  <c r="I294" i="6"/>
  <c r="J294" i="6" s="1"/>
  <c r="I291" i="6"/>
  <c r="J291" i="6" s="1"/>
  <c r="J9" i="5"/>
  <c r="K7" i="5"/>
  <c r="O102" i="5"/>
  <c r="N104" i="5"/>
  <c r="D10" i="8"/>
  <c r="M22" i="6"/>
  <c r="L29" i="6"/>
  <c r="L52" i="6" s="1"/>
  <c r="E9" i="8" s="1"/>
  <c r="K90" i="6"/>
  <c r="N7" i="8"/>
  <c r="L7" i="8"/>
  <c r="K7" i="11"/>
  <c r="H24" i="7"/>
  <c r="K9" i="4"/>
  <c r="L7" i="4"/>
  <c r="K43" i="4"/>
  <c r="N9" i="6"/>
  <c r="O7" i="6"/>
  <c r="N41" i="6"/>
  <c r="K321" i="6"/>
  <c r="J323" i="6"/>
  <c r="K223" i="6"/>
  <c r="L221" i="6"/>
  <c r="I38" i="5"/>
  <c r="I33" i="5"/>
  <c r="I39" i="5" s="1"/>
  <c r="J51" i="5"/>
  <c r="K49" i="5"/>
  <c r="J140" i="6"/>
  <c r="J127" i="6"/>
  <c r="J129" i="6"/>
  <c r="J147" i="6"/>
  <c r="J158" i="6" s="1"/>
  <c r="J145" i="6"/>
  <c r="J50" i="4"/>
  <c r="J54" i="4" s="1"/>
  <c r="I19" i="4"/>
  <c r="J189" i="6"/>
  <c r="K187" i="6"/>
  <c r="M248" i="6"/>
  <c r="N246" i="6"/>
  <c r="K116" i="6"/>
  <c r="L114" i="6"/>
  <c r="M332" i="6"/>
  <c r="L109" i="5"/>
  <c r="G37" i="5"/>
  <c r="G20" i="5"/>
  <c r="G23" i="5" s="1"/>
  <c r="G26" i="5" s="1"/>
  <c r="G29" i="5" s="1"/>
  <c r="J29" i="5"/>
  <c r="J33" i="5" s="1"/>
  <c r="J107" i="5"/>
  <c r="J115" i="5" s="1"/>
  <c r="J252" i="6"/>
  <c r="K84" i="6"/>
  <c r="J86" i="6"/>
  <c r="K175" i="6"/>
  <c r="K176" i="6" s="1"/>
  <c r="O18" i="6"/>
  <c r="O96" i="6"/>
  <c r="M53" i="6"/>
  <c r="M70" i="6"/>
  <c r="M68" i="6" s="1"/>
  <c r="M74" i="6" s="1"/>
  <c r="N71" i="6"/>
  <c r="N69" i="6"/>
  <c r="M13" i="6"/>
  <c r="N26" i="6"/>
  <c r="K52" i="6" l="1"/>
  <c r="D9" i="8" s="1"/>
  <c r="L89" i="6"/>
  <c r="M15" i="6"/>
  <c r="L19" i="6"/>
  <c r="J91" i="6"/>
  <c r="J93" i="6" s="1"/>
  <c r="J306" i="6" s="1"/>
  <c r="J78" i="5" s="1"/>
  <c r="M333" i="6"/>
  <c r="N331" i="6" s="1"/>
  <c r="K166" i="6"/>
  <c r="K168" i="6" s="1"/>
  <c r="J167" i="6"/>
  <c r="J196" i="6" s="1"/>
  <c r="D198" i="6" s="1"/>
  <c r="L74" i="6"/>
  <c r="L90" i="6"/>
  <c r="J141" i="6"/>
  <c r="J178" i="6" s="1"/>
  <c r="L36" i="6"/>
  <c r="E8" i="8" s="1"/>
  <c r="L43" i="6"/>
  <c r="K43" i="6"/>
  <c r="K47" i="6" s="1"/>
  <c r="M37" i="6"/>
  <c r="L31" i="6"/>
  <c r="D131" i="6" s="1"/>
  <c r="D149" i="6" s="1"/>
  <c r="J301" i="6"/>
  <c r="K291" i="6"/>
  <c r="L291" i="6" s="1"/>
  <c r="M291" i="6" s="1"/>
  <c r="N291" i="6" s="1"/>
  <c r="O291" i="6" s="1"/>
  <c r="P291" i="6" s="1"/>
  <c r="Q291" i="6" s="1"/>
  <c r="R291" i="6" s="1"/>
  <c r="P102" i="5"/>
  <c r="O104" i="5"/>
  <c r="K9" i="5"/>
  <c r="L7" i="5"/>
  <c r="K294" i="6"/>
  <c r="L294" i="6" s="1"/>
  <c r="M294" i="6" s="1"/>
  <c r="N294" i="6" s="1"/>
  <c r="O294" i="6" s="1"/>
  <c r="P294" i="6" s="1"/>
  <c r="Q294" i="6" s="1"/>
  <c r="R294" i="6" s="1"/>
  <c r="J304" i="6"/>
  <c r="K283" i="6"/>
  <c r="K281" i="6"/>
  <c r="L279" i="6"/>
  <c r="N22" i="6"/>
  <c r="M29" i="6"/>
  <c r="M52" i="6" s="1"/>
  <c r="F9" i="8" s="1"/>
  <c r="N15" i="6"/>
  <c r="N14" i="6" s="1"/>
  <c r="M14" i="6"/>
  <c r="M89" i="6" s="1"/>
  <c r="J159" i="6"/>
  <c r="K144" i="6" s="1"/>
  <c r="M7" i="4"/>
  <c r="M11" i="4" s="1"/>
  <c r="M42" i="4" s="1"/>
  <c r="L9" i="4"/>
  <c r="L43" i="4"/>
  <c r="L116" i="6"/>
  <c r="M114" i="6"/>
  <c r="L321" i="6"/>
  <c r="K323" i="6"/>
  <c r="G38" i="5"/>
  <c r="G33" i="5"/>
  <c r="G39" i="5" s="1"/>
  <c r="K140" i="6"/>
  <c r="K129" i="6"/>
  <c r="K147" i="6"/>
  <c r="N248" i="6"/>
  <c r="O246" i="6"/>
  <c r="J337" i="6"/>
  <c r="J338" i="6" s="1"/>
  <c r="K336" i="6" s="1"/>
  <c r="J38" i="5"/>
  <c r="L49" i="5"/>
  <c r="K51" i="5"/>
  <c r="O9" i="6"/>
  <c r="P7" i="6"/>
  <c r="O41" i="6"/>
  <c r="J268" i="6"/>
  <c r="I20" i="4"/>
  <c r="I21" i="4"/>
  <c r="K50" i="4"/>
  <c r="K54" i="4" s="1"/>
  <c r="J19" i="4"/>
  <c r="L11" i="4"/>
  <c r="L42" i="4" s="1"/>
  <c r="K64" i="5"/>
  <c r="L174" i="6"/>
  <c r="J123" i="5"/>
  <c r="K189" i="6"/>
  <c r="L187" i="6"/>
  <c r="N332" i="6"/>
  <c r="M109" i="5"/>
  <c r="L84" i="6"/>
  <c r="K86" i="6"/>
  <c r="L223" i="6"/>
  <c r="M221" i="6"/>
  <c r="D148" i="6"/>
  <c r="K127" i="6"/>
  <c r="K130" i="6"/>
  <c r="K54" i="6"/>
  <c r="K56" i="6" s="1"/>
  <c r="L54" i="6"/>
  <c r="L56" i="6" s="1"/>
  <c r="L65" i="6" s="1"/>
  <c r="O69" i="6"/>
  <c r="P18" i="6"/>
  <c r="P96" i="6"/>
  <c r="O26" i="6"/>
  <c r="N37" i="6"/>
  <c r="O71" i="6"/>
  <c r="N70" i="6"/>
  <c r="N68" i="6" s="1"/>
  <c r="N53" i="6"/>
  <c r="N13" i="6"/>
  <c r="M90" i="6"/>
  <c r="F10" i="8"/>
  <c r="J77" i="5" l="1"/>
  <c r="J56" i="5"/>
  <c r="J162" i="6"/>
  <c r="J142" i="6"/>
  <c r="J164" i="6" s="1"/>
  <c r="J309" i="6"/>
  <c r="J311" i="6" s="1"/>
  <c r="L91" i="6"/>
  <c r="L93" i="6" s="1"/>
  <c r="L13" i="5" s="1"/>
  <c r="L287" i="6" s="1"/>
  <c r="M36" i="6"/>
  <c r="F8" i="8" s="1"/>
  <c r="N36" i="6"/>
  <c r="G8" i="8" s="1"/>
  <c r="M31" i="6"/>
  <c r="D132" i="6" s="1"/>
  <c r="D150" i="6" s="1"/>
  <c r="L131" i="6"/>
  <c r="L47" i="6"/>
  <c r="L95" i="6" s="1"/>
  <c r="L16" i="5" s="1"/>
  <c r="L288" i="6" s="1"/>
  <c r="P104" i="5"/>
  <c r="Q102" i="5"/>
  <c r="L127" i="6"/>
  <c r="L9" i="5"/>
  <c r="M7" i="5"/>
  <c r="L283" i="6"/>
  <c r="M279" i="6"/>
  <c r="L281" i="6"/>
  <c r="O15" i="6"/>
  <c r="O14" i="6" s="1"/>
  <c r="O22" i="6"/>
  <c r="N29" i="6"/>
  <c r="N31" i="6" s="1"/>
  <c r="D133" i="6" s="1"/>
  <c r="K141" i="6"/>
  <c r="K178" i="6" s="1"/>
  <c r="K19" i="5" s="1"/>
  <c r="K108" i="5" s="1"/>
  <c r="F7" i="8"/>
  <c r="M19" i="6"/>
  <c r="J67" i="5"/>
  <c r="J269" i="6"/>
  <c r="J253" i="6"/>
  <c r="M49" i="5"/>
  <c r="L51" i="5"/>
  <c r="L140" i="6"/>
  <c r="M321" i="6"/>
  <c r="L323" i="6"/>
  <c r="N114" i="6"/>
  <c r="M116" i="6"/>
  <c r="L147" i="6"/>
  <c r="L129" i="6"/>
  <c r="L130" i="6"/>
  <c r="N109" i="5"/>
  <c r="O332" i="6"/>
  <c r="J21" i="4"/>
  <c r="J20" i="4"/>
  <c r="P9" i="6"/>
  <c r="Q7" i="6"/>
  <c r="P41" i="6"/>
  <c r="O248" i="6"/>
  <c r="P246" i="6"/>
  <c r="L50" i="4"/>
  <c r="L54" i="4" s="1"/>
  <c r="K19" i="4"/>
  <c r="M9" i="4"/>
  <c r="N7" i="4"/>
  <c r="M43" i="4"/>
  <c r="L175" i="6"/>
  <c r="L176" i="6" s="1"/>
  <c r="M84" i="6"/>
  <c r="L86" i="6"/>
  <c r="M223" i="6"/>
  <c r="N221" i="6"/>
  <c r="L189" i="6"/>
  <c r="M187" i="6"/>
  <c r="N333" i="6"/>
  <c r="O331" i="6" s="1"/>
  <c r="K65" i="6"/>
  <c r="K11" i="5" s="1"/>
  <c r="K169" i="6"/>
  <c r="M54" i="6"/>
  <c r="M56" i="6" s="1"/>
  <c r="M65" i="6" s="1"/>
  <c r="L148" i="6"/>
  <c r="K145" i="6"/>
  <c r="K148" i="6"/>
  <c r="K158" i="6" s="1"/>
  <c r="P26" i="6"/>
  <c r="Q18" i="6"/>
  <c r="O37" i="6"/>
  <c r="N89" i="6"/>
  <c r="G7" i="8"/>
  <c r="O13" i="6"/>
  <c r="N19" i="6"/>
  <c r="L145" i="6"/>
  <c r="L149" i="6"/>
  <c r="N90" i="6"/>
  <c r="G10" i="8"/>
  <c r="N74" i="6"/>
  <c r="O70" i="6"/>
  <c r="O68" i="6" s="1"/>
  <c r="P71" i="6"/>
  <c r="P69" i="6"/>
  <c r="O53" i="6"/>
  <c r="Q96" i="6"/>
  <c r="L169" i="6"/>
  <c r="J198" i="6"/>
  <c r="J209" i="6" s="1"/>
  <c r="N43" i="6" l="1"/>
  <c r="K126" i="6"/>
  <c r="L304" i="6"/>
  <c r="M91" i="6"/>
  <c r="M93" i="6" s="1"/>
  <c r="M13" i="5" s="1"/>
  <c r="M287" i="6" s="1"/>
  <c r="M43" i="6"/>
  <c r="M47" i="6" s="1"/>
  <c r="L11" i="5"/>
  <c r="O36" i="6"/>
  <c r="H8" i="8" s="1"/>
  <c r="O43" i="6"/>
  <c r="M127" i="6"/>
  <c r="R102" i="5"/>
  <c r="Q104" i="5"/>
  <c r="O333" i="6"/>
  <c r="P331" i="6" s="1"/>
  <c r="M281" i="6"/>
  <c r="N279" i="6"/>
  <c r="M283" i="6"/>
  <c r="N7" i="5"/>
  <c r="M9" i="5"/>
  <c r="P15" i="6"/>
  <c r="P14" i="6" s="1"/>
  <c r="N52" i="6"/>
  <c r="G9" i="8" s="1"/>
  <c r="P22" i="6"/>
  <c r="O29" i="6"/>
  <c r="O31" i="6" s="1"/>
  <c r="D134" i="6" s="1"/>
  <c r="I15" i="4"/>
  <c r="K162" i="6"/>
  <c r="K142" i="6"/>
  <c r="L126" i="6" s="1"/>
  <c r="L141" i="6"/>
  <c r="M174" i="6"/>
  <c r="L64" i="5"/>
  <c r="N187" i="6"/>
  <c r="M189" i="6"/>
  <c r="M50" i="4"/>
  <c r="M54" i="4" s="1"/>
  <c r="L19" i="4"/>
  <c r="P332" i="6"/>
  <c r="O109" i="5"/>
  <c r="N49" i="5"/>
  <c r="M51" i="5"/>
  <c r="N43" i="4"/>
  <c r="N9" i="4"/>
  <c r="O7" i="4"/>
  <c r="O11" i="4" s="1"/>
  <c r="O42" i="4" s="1"/>
  <c r="M129" i="6"/>
  <c r="M147" i="6"/>
  <c r="M140" i="6"/>
  <c r="M131" i="6"/>
  <c r="M130" i="6"/>
  <c r="O114" i="6"/>
  <c r="N116" i="6"/>
  <c r="N150" i="6" s="1"/>
  <c r="M132" i="6"/>
  <c r="M323" i="6"/>
  <c r="N321" i="6"/>
  <c r="J254" i="6"/>
  <c r="J255" i="6" s="1"/>
  <c r="R7" i="6"/>
  <c r="Q9" i="6"/>
  <c r="Q41" i="6"/>
  <c r="S41" i="6"/>
  <c r="M86" i="6"/>
  <c r="N84" i="6"/>
  <c r="M148" i="6"/>
  <c r="K20" i="4"/>
  <c r="K21" i="4"/>
  <c r="P248" i="6"/>
  <c r="Q246" i="6"/>
  <c r="O221" i="6"/>
  <c r="N223" i="6"/>
  <c r="K124" i="6"/>
  <c r="J61" i="5"/>
  <c r="K267" i="6"/>
  <c r="J256" i="6"/>
  <c r="M149" i="6"/>
  <c r="N11" i="4"/>
  <c r="N42" i="4" s="1"/>
  <c r="M169" i="6"/>
  <c r="N166" i="6" s="1"/>
  <c r="N168" i="6" s="1"/>
  <c r="L158" i="6"/>
  <c r="K286" i="6"/>
  <c r="D13" i="8"/>
  <c r="C265" i="11"/>
  <c r="C267" i="11"/>
  <c r="K62" i="5"/>
  <c r="L166" i="6"/>
  <c r="L168" i="6" s="1"/>
  <c r="K167" i="6"/>
  <c r="K196" i="6" s="1"/>
  <c r="D199" i="6" s="1"/>
  <c r="K199" i="6" s="1"/>
  <c r="K91" i="6"/>
  <c r="K93" i="6" s="1"/>
  <c r="K95" i="6"/>
  <c r="K16" i="5" s="1"/>
  <c r="K288" i="6" s="1"/>
  <c r="K304" i="6" s="1"/>
  <c r="C266" i="11"/>
  <c r="K123" i="5"/>
  <c r="I17" i="4" s="1"/>
  <c r="K159" i="6"/>
  <c r="K198" i="6"/>
  <c r="L198" i="6" s="1"/>
  <c r="J117" i="5"/>
  <c r="J233" i="6"/>
  <c r="J234" i="6" s="1"/>
  <c r="M145" i="6"/>
  <c r="M150" i="6"/>
  <c r="L62" i="5"/>
  <c r="M166" i="6"/>
  <c r="M168" i="6" s="1"/>
  <c r="Q69" i="6"/>
  <c r="N47" i="6"/>
  <c r="O90" i="6"/>
  <c r="H10" i="8"/>
  <c r="P53" i="6"/>
  <c r="L123" i="5"/>
  <c r="J17" i="4" s="1"/>
  <c r="O74" i="6"/>
  <c r="D151" i="6"/>
  <c r="H7" i="8"/>
  <c r="O89" i="6"/>
  <c r="P13" i="6"/>
  <c r="O19" i="6"/>
  <c r="Q71" i="6"/>
  <c r="P70" i="6"/>
  <c r="P68" i="6" s="1"/>
  <c r="J80" i="5"/>
  <c r="J82" i="5" s="1"/>
  <c r="J84" i="5"/>
  <c r="K195" i="6"/>
  <c r="J211" i="6"/>
  <c r="J134" i="5" s="1"/>
  <c r="J138" i="5" s="1"/>
  <c r="R18" i="6"/>
  <c r="L306" i="6"/>
  <c r="L78" i="5" s="1"/>
  <c r="Q26" i="6"/>
  <c r="P37" i="6"/>
  <c r="P36" i="6" s="1"/>
  <c r="I8" i="8" s="1"/>
  <c r="R96" i="6"/>
  <c r="L308" i="6"/>
  <c r="L81" i="5" s="1"/>
  <c r="L307" i="6"/>
  <c r="L79" i="5" s="1"/>
  <c r="D265" i="11" l="1"/>
  <c r="K77" i="5"/>
  <c r="L77" i="5"/>
  <c r="L14" i="5"/>
  <c r="L17" i="5" s="1"/>
  <c r="L286" i="6"/>
  <c r="D266" i="11"/>
  <c r="D267" i="11"/>
  <c r="E13" i="8"/>
  <c r="P333" i="6"/>
  <c r="Q331" i="6" s="1"/>
  <c r="M95" i="6"/>
  <c r="M16" i="5" s="1"/>
  <c r="M288" i="6" s="1"/>
  <c r="M304" i="6" s="1"/>
  <c r="M77" i="5" s="1"/>
  <c r="M11" i="5"/>
  <c r="M123" i="5"/>
  <c r="K17" i="4" s="1"/>
  <c r="Q15" i="6"/>
  <c r="Q14" i="6" s="1"/>
  <c r="N54" i="6"/>
  <c r="N56" i="6" s="1"/>
  <c r="N65" i="6" s="1"/>
  <c r="N91" i="6" s="1"/>
  <c r="N93" i="6" s="1"/>
  <c r="N13" i="5" s="1"/>
  <c r="N287" i="6" s="1"/>
  <c r="N283" i="6"/>
  <c r="N281" i="6"/>
  <c r="O279" i="6"/>
  <c r="N127" i="6"/>
  <c r="N140" i="6"/>
  <c r="N9" i="5"/>
  <c r="O7" i="5"/>
  <c r="N133" i="6"/>
  <c r="R104" i="5"/>
  <c r="S102" i="5"/>
  <c r="S104" i="5" s="1"/>
  <c r="O52" i="6"/>
  <c r="H9" i="8" s="1"/>
  <c r="Q22" i="6"/>
  <c r="P29" i="6"/>
  <c r="P31" i="6" s="1"/>
  <c r="D135" i="6" s="1"/>
  <c r="L142" i="6"/>
  <c r="M126" i="6" s="1"/>
  <c r="L162" i="6"/>
  <c r="L178" i="6"/>
  <c r="L19" i="5" s="1"/>
  <c r="L108" i="5" s="1"/>
  <c r="N323" i="6"/>
  <c r="O321" i="6"/>
  <c r="O49" i="5"/>
  <c r="N51" i="5"/>
  <c r="L167" i="6"/>
  <c r="L196" i="6" s="1"/>
  <c r="D200" i="6" s="1"/>
  <c r="L200" i="6" s="1"/>
  <c r="M200" i="6" s="1"/>
  <c r="R246" i="6"/>
  <c r="Q248" i="6"/>
  <c r="O187" i="6"/>
  <c r="N189" i="6"/>
  <c r="O116" i="6"/>
  <c r="O134" i="6" s="1"/>
  <c r="P114" i="6"/>
  <c r="N86" i="6"/>
  <c r="O84" i="6"/>
  <c r="P109" i="5"/>
  <c r="Q332" i="6"/>
  <c r="J259" i="6"/>
  <c r="J257" i="6"/>
  <c r="J262" i="6" s="1"/>
  <c r="J118" i="5" s="1"/>
  <c r="J120" i="5" s="1"/>
  <c r="P221" i="6"/>
  <c r="O223" i="6"/>
  <c r="M141" i="6"/>
  <c r="O9" i="4"/>
  <c r="P7" i="4"/>
  <c r="P11" i="4" s="1"/>
  <c r="P42" i="4" s="1"/>
  <c r="O43" i="4"/>
  <c r="L21" i="4"/>
  <c r="L20" i="4"/>
  <c r="M175" i="6"/>
  <c r="M176" i="6" s="1"/>
  <c r="S7" i="6"/>
  <c r="R9" i="6"/>
  <c r="R41" i="6"/>
  <c r="M158" i="6"/>
  <c r="M62" i="5"/>
  <c r="N147" i="6"/>
  <c r="N130" i="6"/>
  <c r="N129" i="6"/>
  <c r="N131" i="6"/>
  <c r="N132" i="6"/>
  <c r="N149" i="6"/>
  <c r="N148" i="6"/>
  <c r="N50" i="4"/>
  <c r="N54" i="4" s="1"/>
  <c r="M19" i="4"/>
  <c r="M198" i="6"/>
  <c r="L199" i="6"/>
  <c r="M199" i="6" s="1"/>
  <c r="L144" i="6"/>
  <c r="L159" i="6" s="1"/>
  <c r="K164" i="6"/>
  <c r="K209" i="6"/>
  <c r="L195" i="6" s="1"/>
  <c r="C268" i="11"/>
  <c r="K13" i="5"/>
  <c r="K306" i="6"/>
  <c r="K78" i="5" s="1"/>
  <c r="K302" i="6"/>
  <c r="K57" i="5" s="1"/>
  <c r="K301" i="6"/>
  <c r="K305" i="6"/>
  <c r="K303" i="6"/>
  <c r="K58" i="5" s="1"/>
  <c r="O47" i="6"/>
  <c r="P89" i="6"/>
  <c r="I7" i="8"/>
  <c r="Q13" i="6"/>
  <c r="P19" i="6"/>
  <c r="L36" i="5"/>
  <c r="E19" i="8" s="1"/>
  <c r="N145" i="6"/>
  <c r="N151" i="6"/>
  <c r="P90" i="6"/>
  <c r="I10" i="8"/>
  <c r="R71" i="6"/>
  <c r="R70" i="6" s="1"/>
  <c r="R68" i="6" s="1"/>
  <c r="Q70" i="6"/>
  <c r="Q68" i="6" s="1"/>
  <c r="Q74" i="6" s="1"/>
  <c r="D152" i="6"/>
  <c r="Q53" i="6"/>
  <c r="R69" i="6"/>
  <c r="M167" i="6"/>
  <c r="M196" i="6" s="1"/>
  <c r="D201" i="6" s="1"/>
  <c r="R26" i="6"/>
  <c r="S26" i="6" s="1"/>
  <c r="S29" i="6" s="1"/>
  <c r="J55" i="5"/>
  <c r="J65" i="5"/>
  <c r="J70" i="5" s="1"/>
  <c r="K232" i="6"/>
  <c r="J228" i="6"/>
  <c r="J126" i="5"/>
  <c r="J129" i="5" s="1"/>
  <c r="L301" i="6"/>
  <c r="L303" i="6"/>
  <c r="L58" i="5" s="1"/>
  <c r="L305" i="6"/>
  <c r="L302" i="6"/>
  <c r="L57" i="5" s="1"/>
  <c r="P74" i="6"/>
  <c r="Q37" i="6"/>
  <c r="Q36" i="6" s="1"/>
  <c r="J8" i="8" s="1"/>
  <c r="D268" i="11" l="1"/>
  <c r="E14" i="8"/>
  <c r="E265" i="11"/>
  <c r="K76" i="5"/>
  <c r="L76" i="5"/>
  <c r="M306" i="6"/>
  <c r="M78" i="5" s="1"/>
  <c r="M307" i="6"/>
  <c r="M79" i="5" s="1"/>
  <c r="M308" i="6"/>
  <c r="M81" i="5" s="1"/>
  <c r="Q333" i="6"/>
  <c r="R331" i="6" s="1"/>
  <c r="O127" i="6"/>
  <c r="M14" i="5"/>
  <c r="M36" i="5" s="1"/>
  <c r="F19" i="8" s="1"/>
  <c r="F13" i="8"/>
  <c r="E267" i="11"/>
  <c r="M286" i="6"/>
  <c r="M301" i="6" s="1"/>
  <c r="E266" i="11"/>
  <c r="R15" i="6"/>
  <c r="R14" i="6" s="1"/>
  <c r="N95" i="6"/>
  <c r="N16" i="5" s="1"/>
  <c r="N288" i="6" s="1"/>
  <c r="N304" i="6" s="1"/>
  <c r="N77" i="5" s="1"/>
  <c r="P52" i="6"/>
  <c r="I9" i="8" s="1"/>
  <c r="N11" i="5"/>
  <c r="N169" i="6"/>
  <c r="N62" i="5" s="1"/>
  <c r="O54" i="6"/>
  <c r="O56" i="6" s="1"/>
  <c r="O65" i="6" s="1"/>
  <c r="O11" i="5" s="1"/>
  <c r="O9" i="5"/>
  <c r="P7" i="5"/>
  <c r="N123" i="5"/>
  <c r="L17" i="4" s="1"/>
  <c r="P279" i="6"/>
  <c r="O283" i="6"/>
  <c r="O281" i="6"/>
  <c r="R22" i="6"/>
  <c r="R29" i="6" s="1"/>
  <c r="Q29" i="6"/>
  <c r="Q52" i="6" s="1"/>
  <c r="J9" i="8" s="1"/>
  <c r="M142" i="6"/>
  <c r="N126" i="6" s="1"/>
  <c r="J15" i="4"/>
  <c r="N141" i="6"/>
  <c r="K84" i="5"/>
  <c r="M162" i="6"/>
  <c r="M178" i="6"/>
  <c r="M19" i="5" s="1"/>
  <c r="M108" i="5" s="1"/>
  <c r="K80" i="5"/>
  <c r="M64" i="5"/>
  <c r="N174" i="6"/>
  <c r="P116" i="6"/>
  <c r="P152" i="6" s="1"/>
  <c r="Q114" i="6"/>
  <c r="J141" i="5"/>
  <c r="J143" i="5" s="1"/>
  <c r="J54" i="5" s="1"/>
  <c r="J59" i="5" s="1"/>
  <c r="J72" i="5" s="1"/>
  <c r="N158" i="6"/>
  <c r="Q221" i="6"/>
  <c r="P223" i="6"/>
  <c r="O86" i="6"/>
  <c r="P84" i="6"/>
  <c r="P187" i="6"/>
  <c r="O189" i="6"/>
  <c r="O323" i="6"/>
  <c r="P321" i="6"/>
  <c r="P43" i="4"/>
  <c r="Q7" i="4"/>
  <c r="Q11" i="4" s="1"/>
  <c r="Q42" i="4" s="1"/>
  <c r="Q20" i="4" s="1"/>
  <c r="P9" i="4"/>
  <c r="N199" i="6"/>
  <c r="R248" i="6"/>
  <c r="S246" i="6"/>
  <c r="S248" i="6" s="1"/>
  <c r="M21" i="4"/>
  <c r="M20" i="4"/>
  <c r="O130" i="6"/>
  <c r="O148" i="6"/>
  <c r="O131" i="6"/>
  <c r="O129" i="6"/>
  <c r="O147" i="6"/>
  <c r="O140" i="6"/>
  <c r="O132" i="6"/>
  <c r="O149" i="6"/>
  <c r="O150" i="6"/>
  <c r="O133" i="6"/>
  <c r="O50" i="4"/>
  <c r="O54" i="4" s="1"/>
  <c r="N19" i="4"/>
  <c r="O51" i="5"/>
  <c r="P49" i="5"/>
  <c r="O151" i="6"/>
  <c r="N198" i="6"/>
  <c r="S9" i="6"/>
  <c r="S43" i="6"/>
  <c r="J263" i="6"/>
  <c r="J85" i="5" s="1"/>
  <c r="J87" i="5" s="1"/>
  <c r="J89" i="5" s="1"/>
  <c r="J264" i="6"/>
  <c r="Q109" i="5"/>
  <c r="R332" i="6"/>
  <c r="R109" i="5" s="1"/>
  <c r="F14" i="8"/>
  <c r="K211" i="6"/>
  <c r="K134" i="5" s="1"/>
  <c r="K287" i="6"/>
  <c r="K14" i="5"/>
  <c r="K61" i="5"/>
  <c r="L124" i="6"/>
  <c r="K56" i="5"/>
  <c r="M144" i="6"/>
  <c r="M159" i="6" s="1"/>
  <c r="N144" i="6" s="1"/>
  <c r="L164" i="6"/>
  <c r="L209" i="6"/>
  <c r="L80" i="5" s="1"/>
  <c r="L82" i="5" s="1"/>
  <c r="N200" i="6"/>
  <c r="L56" i="5"/>
  <c r="L309" i="6"/>
  <c r="M201" i="6"/>
  <c r="J7" i="8"/>
  <c r="R13" i="6"/>
  <c r="Q89" i="6"/>
  <c r="Q19" i="6"/>
  <c r="R37" i="6"/>
  <c r="R36" i="6" s="1"/>
  <c r="K8" i="8" s="1"/>
  <c r="D153" i="6"/>
  <c r="K127" i="5"/>
  <c r="J236" i="6"/>
  <c r="K110" i="5" s="1"/>
  <c r="S31" i="6"/>
  <c r="J10" i="8"/>
  <c r="Q90" i="6"/>
  <c r="R53" i="6"/>
  <c r="M56" i="5"/>
  <c r="S69" i="6"/>
  <c r="S74" i="6" s="1"/>
  <c r="R74" i="6"/>
  <c r="O145" i="6"/>
  <c r="O152" i="6"/>
  <c r="L20" i="5"/>
  <c r="L37" i="5"/>
  <c r="E20" i="8" s="1"/>
  <c r="E15" i="8"/>
  <c r="P43" i="6"/>
  <c r="K10" i="8"/>
  <c r="R90" i="6"/>
  <c r="M302" i="6" l="1"/>
  <c r="M57" i="5" s="1"/>
  <c r="M303" i="6"/>
  <c r="M58" i="5" s="1"/>
  <c r="G266" i="11"/>
  <c r="F265" i="11"/>
  <c r="M305" i="6"/>
  <c r="M76" i="5" s="1"/>
  <c r="P135" i="6"/>
  <c r="E268" i="11"/>
  <c r="M17" i="5"/>
  <c r="F15" i="8" s="1"/>
  <c r="O166" i="6"/>
  <c r="O168" i="6" s="1"/>
  <c r="F266" i="11"/>
  <c r="O123" i="5"/>
  <c r="M17" i="4" s="1"/>
  <c r="P54" i="6"/>
  <c r="P56" i="6" s="1"/>
  <c r="P65" i="6" s="1"/>
  <c r="P91" i="6" s="1"/>
  <c r="P93" i="6" s="1"/>
  <c r="P13" i="5" s="1"/>
  <c r="P287" i="6" s="1"/>
  <c r="F267" i="11"/>
  <c r="N286" i="6"/>
  <c r="N302" i="6" s="1"/>
  <c r="N57" i="5" s="1"/>
  <c r="N14" i="5"/>
  <c r="G14" i="8" s="1"/>
  <c r="O169" i="6"/>
  <c r="P166" i="6" s="1"/>
  <c r="P168" i="6" s="1"/>
  <c r="O91" i="6"/>
  <c r="O93" i="6" s="1"/>
  <c r="O13" i="5" s="1"/>
  <c r="O95" i="6"/>
  <c r="O16" i="5" s="1"/>
  <c r="O288" i="6" s="1"/>
  <c r="O304" i="6" s="1"/>
  <c r="O77" i="5" s="1"/>
  <c r="N307" i="6"/>
  <c r="N79" i="5" s="1"/>
  <c r="N308" i="6"/>
  <c r="N81" i="5" s="1"/>
  <c r="N306" i="6"/>
  <c r="N78" i="5" s="1"/>
  <c r="G13" i="8"/>
  <c r="N167" i="6"/>
  <c r="N196" i="6" s="1"/>
  <c r="D202" i="6" s="1"/>
  <c r="N202" i="6" s="1"/>
  <c r="O199" i="6"/>
  <c r="P9" i="5"/>
  <c r="Q7" i="5"/>
  <c r="P283" i="6"/>
  <c r="P281" i="6"/>
  <c r="Q279" i="6"/>
  <c r="O198" i="6"/>
  <c r="Q31" i="6"/>
  <c r="D136" i="6" s="1"/>
  <c r="K142" i="5"/>
  <c r="R19" i="6"/>
  <c r="N142" i="6"/>
  <c r="O126" i="6" s="1"/>
  <c r="M309" i="6"/>
  <c r="M311" i="6" s="1"/>
  <c r="K16" i="4" s="1"/>
  <c r="N162" i="6"/>
  <c r="G267" i="11"/>
  <c r="G265" i="11"/>
  <c r="H13" i="8"/>
  <c r="O286" i="6"/>
  <c r="O301" i="6" s="1"/>
  <c r="K15" i="4"/>
  <c r="N159" i="6"/>
  <c r="O144" i="6" s="1"/>
  <c r="O141" i="6"/>
  <c r="K22" i="5"/>
  <c r="K135" i="5" s="1"/>
  <c r="K138" i="5" s="1"/>
  <c r="Q116" i="6"/>
  <c r="Q153" i="6" s="1"/>
  <c r="R114" i="6"/>
  <c r="O158" i="6"/>
  <c r="N175" i="6"/>
  <c r="N178" i="6" s="1"/>
  <c r="N19" i="5" s="1"/>
  <c r="Q49" i="5"/>
  <c r="P51" i="5"/>
  <c r="P140" i="6"/>
  <c r="R221" i="6"/>
  <c r="Q223" i="6"/>
  <c r="Q187" i="6"/>
  <c r="P189" i="6"/>
  <c r="N20" i="4"/>
  <c r="N21" i="4"/>
  <c r="P323" i="6"/>
  <c r="Q321" i="6"/>
  <c r="P149" i="6"/>
  <c r="P132" i="6"/>
  <c r="P147" i="6"/>
  <c r="P129" i="6"/>
  <c r="P148" i="6"/>
  <c r="P130" i="6"/>
  <c r="P131" i="6"/>
  <c r="P133" i="6"/>
  <c r="P150" i="6"/>
  <c r="P134" i="6"/>
  <c r="P151" i="6"/>
  <c r="Q43" i="4"/>
  <c r="Q21" i="4" s="1"/>
  <c r="Q9" i="4"/>
  <c r="P127" i="6"/>
  <c r="P50" i="4"/>
  <c r="O19" i="4"/>
  <c r="P86" i="6"/>
  <c r="Q84" i="6"/>
  <c r="R333" i="6"/>
  <c r="S331" i="6" s="1"/>
  <c r="S333" i="6" s="1"/>
  <c r="L211" i="6"/>
  <c r="L22" i="5" s="1"/>
  <c r="L23" i="5" s="1"/>
  <c r="L84" i="5"/>
  <c r="M195" i="6"/>
  <c r="M209" i="6" s="1"/>
  <c r="N195" i="6" s="1"/>
  <c r="P47" i="6"/>
  <c r="M164" i="6"/>
  <c r="M61" i="5" s="1"/>
  <c r="D14" i="8"/>
  <c r="K36" i="5"/>
  <c r="D19" i="8" s="1"/>
  <c r="K17" i="5"/>
  <c r="M124" i="6"/>
  <c r="L61" i="5"/>
  <c r="K307" i="6"/>
  <c r="K308" i="6"/>
  <c r="K81" i="5" s="1"/>
  <c r="Q43" i="6"/>
  <c r="N201" i="6"/>
  <c r="O201" i="6" s="1"/>
  <c r="J340" i="6"/>
  <c r="J344" i="6" s="1"/>
  <c r="J91" i="5" s="1"/>
  <c r="J39" i="5" s="1"/>
  <c r="C22" i="8" s="1"/>
  <c r="Q54" i="6"/>
  <c r="Q56" i="6" s="1"/>
  <c r="R89" i="6"/>
  <c r="K7" i="8"/>
  <c r="O200" i="6"/>
  <c r="S52" i="6"/>
  <c r="L9" i="8" s="1"/>
  <c r="L8" i="8"/>
  <c r="P153" i="6"/>
  <c r="P145" i="6"/>
  <c r="H43" i="8"/>
  <c r="J12" i="4"/>
  <c r="R31" i="6"/>
  <c r="D137" i="6" s="1"/>
  <c r="R52" i="6"/>
  <c r="K9" i="8" s="1"/>
  <c r="F268" i="11" l="1"/>
  <c r="M37" i="5"/>
  <c r="F20" i="8" s="1"/>
  <c r="M20" i="5"/>
  <c r="K12" i="4" s="1"/>
  <c r="P95" i="6"/>
  <c r="P16" i="5" s="1"/>
  <c r="P288" i="6" s="1"/>
  <c r="P307" i="6" s="1"/>
  <c r="P79" i="5" s="1"/>
  <c r="P54" i="4"/>
  <c r="P19" i="4" s="1"/>
  <c r="Q127" i="6"/>
  <c r="P198" i="6"/>
  <c r="N305" i="6"/>
  <c r="P169" i="6"/>
  <c r="Q166" i="6" s="1"/>
  <c r="Q168" i="6" s="1"/>
  <c r="N303" i="6"/>
  <c r="N58" i="5" s="1"/>
  <c r="N301" i="6"/>
  <c r="N56" i="5" s="1"/>
  <c r="N17" i="5"/>
  <c r="N37" i="5" s="1"/>
  <c r="G20" i="8" s="1"/>
  <c r="N36" i="5"/>
  <c r="G19" i="8" s="1"/>
  <c r="O62" i="5"/>
  <c r="O306" i="6"/>
  <c r="O78" i="5" s="1"/>
  <c r="O167" i="6"/>
  <c r="O196" i="6" s="1"/>
  <c r="D203" i="6" s="1"/>
  <c r="O203" i="6" s="1"/>
  <c r="D154" i="6"/>
  <c r="Q154" i="6" s="1"/>
  <c r="O202" i="6"/>
  <c r="P202" i="6" s="1"/>
  <c r="P199" i="6"/>
  <c r="R7" i="5"/>
  <c r="Q9" i="5"/>
  <c r="R279" i="6"/>
  <c r="Q283" i="6"/>
  <c r="Q281" i="6"/>
  <c r="Q136" i="6"/>
  <c r="Q47" i="6"/>
  <c r="O142" i="6"/>
  <c r="P126" i="6" s="1"/>
  <c r="O303" i="6"/>
  <c r="O58" i="5" s="1"/>
  <c r="O302" i="6"/>
  <c r="O57" i="5" s="1"/>
  <c r="O305" i="6"/>
  <c r="G268" i="11"/>
  <c r="N164" i="6"/>
  <c r="O124" i="6" s="1"/>
  <c r="P62" i="5"/>
  <c r="K111" i="5"/>
  <c r="P123" i="5"/>
  <c r="N17" i="4" s="1"/>
  <c r="L134" i="5"/>
  <c r="O162" i="6"/>
  <c r="O159" i="6"/>
  <c r="P144" i="6" s="1"/>
  <c r="P141" i="6"/>
  <c r="M84" i="5"/>
  <c r="Q51" i="5"/>
  <c r="R49" i="5"/>
  <c r="Q189" i="6"/>
  <c r="R187" i="6"/>
  <c r="P201" i="6"/>
  <c r="P158" i="6"/>
  <c r="O21" i="4"/>
  <c r="O20" i="4"/>
  <c r="R223" i="6"/>
  <c r="S221" i="6"/>
  <c r="S223" i="6" s="1"/>
  <c r="N176" i="6"/>
  <c r="R321" i="6"/>
  <c r="Q323" i="6"/>
  <c r="R116" i="6"/>
  <c r="R127" i="6" s="1"/>
  <c r="S114" i="6"/>
  <c r="S116" i="6" s="1"/>
  <c r="S137" i="6" s="1"/>
  <c r="L15" i="4"/>
  <c r="N108" i="5"/>
  <c r="M80" i="5"/>
  <c r="M82" i="5" s="1"/>
  <c r="Q149" i="6"/>
  <c r="Q132" i="6"/>
  <c r="Q147" i="6"/>
  <c r="Q148" i="6"/>
  <c r="Q130" i="6"/>
  <c r="Q131" i="6"/>
  <c r="Q150" i="6"/>
  <c r="Q133" i="6"/>
  <c r="Q129" i="6"/>
  <c r="Q140" i="6"/>
  <c r="Q151" i="6"/>
  <c r="Q134" i="6"/>
  <c r="Q135" i="6"/>
  <c r="Q152" i="6"/>
  <c r="M211" i="6"/>
  <c r="M22" i="5" s="1"/>
  <c r="R84" i="6"/>
  <c r="Q86" i="6"/>
  <c r="N209" i="6"/>
  <c r="N211" i="6" s="1"/>
  <c r="P11" i="5"/>
  <c r="N124" i="6"/>
  <c r="D15" i="8"/>
  <c r="K37" i="5"/>
  <c r="D20" i="8" s="1"/>
  <c r="K20" i="5"/>
  <c r="K79" i="5"/>
  <c r="K82" i="5" s="1"/>
  <c r="K309" i="6"/>
  <c r="J93" i="5"/>
  <c r="R54" i="6"/>
  <c r="R56" i="6" s="1"/>
  <c r="L135" i="5"/>
  <c r="L111" i="5"/>
  <c r="O56" i="5"/>
  <c r="D138" i="6"/>
  <c r="S47" i="6"/>
  <c r="O287" i="6"/>
  <c r="O14" i="5"/>
  <c r="M117" i="5"/>
  <c r="P200" i="6"/>
  <c r="R43" i="6"/>
  <c r="R47" i="6" s="1"/>
  <c r="Q65" i="6"/>
  <c r="Q169" i="6"/>
  <c r="D155" i="6"/>
  <c r="N9" i="8"/>
  <c r="S54" i="6"/>
  <c r="S56" i="6" s="1"/>
  <c r="P306" i="6" l="1"/>
  <c r="P78" i="5" s="1"/>
  <c r="K311" i="6"/>
  <c r="I16" i="4" s="1"/>
  <c r="L311" i="6"/>
  <c r="J16" i="4" s="1"/>
  <c r="H265" i="11"/>
  <c r="N76" i="5"/>
  <c r="O76" i="5"/>
  <c r="P304" i="6"/>
  <c r="P77" i="5" s="1"/>
  <c r="P308" i="6"/>
  <c r="P81" i="5" s="1"/>
  <c r="P20" i="4"/>
  <c r="P21" i="4"/>
  <c r="P167" i="6"/>
  <c r="P196" i="6" s="1"/>
  <c r="D204" i="6" s="1"/>
  <c r="R140" i="6"/>
  <c r="S140" i="6" s="1"/>
  <c r="N20" i="5"/>
  <c r="L12" i="4" s="1"/>
  <c r="N309" i="6"/>
  <c r="N311" i="6" s="1"/>
  <c r="L16" i="4" s="1"/>
  <c r="Q201" i="6"/>
  <c r="Q202" i="6"/>
  <c r="G15" i="8"/>
  <c r="S154" i="6"/>
  <c r="Q145" i="6"/>
  <c r="Q123" i="5" s="1"/>
  <c r="O17" i="4" s="1"/>
  <c r="Q199" i="6"/>
  <c r="R137" i="6"/>
  <c r="S279" i="6"/>
  <c r="R283" i="6"/>
  <c r="R281" i="6"/>
  <c r="R154" i="6"/>
  <c r="Q198" i="6"/>
  <c r="R9" i="5"/>
  <c r="S7" i="5"/>
  <c r="S9" i="5" s="1"/>
  <c r="Q11" i="5"/>
  <c r="P142" i="6"/>
  <c r="Q126" i="6" s="1"/>
  <c r="N61" i="5"/>
  <c r="O164" i="6"/>
  <c r="O61" i="5" s="1"/>
  <c r="P159" i="6"/>
  <c r="Q144" i="6" s="1"/>
  <c r="L138" i="5"/>
  <c r="H266" i="11"/>
  <c r="P162" i="6"/>
  <c r="N84" i="5"/>
  <c r="H267" i="11"/>
  <c r="M134" i="5"/>
  <c r="Q158" i="6"/>
  <c r="I13" i="8"/>
  <c r="Q141" i="6"/>
  <c r="S152" i="6"/>
  <c r="S129" i="6"/>
  <c r="S151" i="6"/>
  <c r="S130" i="6"/>
  <c r="S134" i="6"/>
  <c r="S131" i="6"/>
  <c r="S149" i="6"/>
  <c r="S133" i="6"/>
  <c r="S150" i="6"/>
  <c r="S132" i="6"/>
  <c r="S135" i="6"/>
  <c r="S147" i="6"/>
  <c r="S148" i="6"/>
  <c r="S136" i="6"/>
  <c r="S153" i="6"/>
  <c r="P14" i="5"/>
  <c r="P17" i="5" s="1"/>
  <c r="N80" i="5"/>
  <c r="N82" i="5" s="1"/>
  <c r="R149" i="6"/>
  <c r="R147" i="6"/>
  <c r="R134" i="6"/>
  <c r="R129" i="6"/>
  <c r="R130" i="6"/>
  <c r="R151" i="6"/>
  <c r="R131" i="6"/>
  <c r="R132" i="6"/>
  <c r="R148" i="6"/>
  <c r="R133" i="6"/>
  <c r="R150" i="6"/>
  <c r="R135" i="6"/>
  <c r="R152" i="6"/>
  <c r="R136" i="6"/>
  <c r="R153" i="6"/>
  <c r="R86" i="6"/>
  <c r="S84" i="6"/>
  <c r="S86" i="6" s="1"/>
  <c r="R51" i="5"/>
  <c r="S49" i="5"/>
  <c r="S51" i="5" s="1"/>
  <c r="R189" i="6"/>
  <c r="S187" i="6"/>
  <c r="S189" i="6" s="1"/>
  <c r="N64" i="5"/>
  <c r="O174" i="6"/>
  <c r="P286" i="6"/>
  <c r="P305" i="6" s="1"/>
  <c r="O195" i="6"/>
  <c r="O209" i="6" s="1"/>
  <c r="O211" i="6" s="1"/>
  <c r="S321" i="6"/>
  <c r="S323" i="6" s="1"/>
  <c r="R323" i="6"/>
  <c r="I12" i="4"/>
  <c r="K23" i="5"/>
  <c r="M135" i="5"/>
  <c r="M111" i="5"/>
  <c r="M23" i="5"/>
  <c r="N22" i="5"/>
  <c r="N134" i="5"/>
  <c r="R155" i="6"/>
  <c r="S155" i="6"/>
  <c r="R145" i="6"/>
  <c r="R123" i="5" s="1"/>
  <c r="P17" i="4" s="1"/>
  <c r="H27" i="8"/>
  <c r="S65" i="6"/>
  <c r="S11" i="5" s="1"/>
  <c r="S169" i="6"/>
  <c r="O36" i="5"/>
  <c r="H19" i="8" s="1"/>
  <c r="O17" i="5"/>
  <c r="H14" i="8"/>
  <c r="S127" i="6"/>
  <c r="D156" i="6"/>
  <c r="S138" i="6"/>
  <c r="P204" i="6"/>
  <c r="R65" i="6"/>
  <c r="R11" i="5" s="1"/>
  <c r="R169" i="6"/>
  <c r="P203" i="6"/>
  <c r="O308" i="6"/>
  <c r="O81" i="5" s="1"/>
  <c r="O307" i="6"/>
  <c r="Q62" i="5"/>
  <c r="Q167" i="6"/>
  <c r="Q196" i="6" s="1"/>
  <c r="D205" i="6" s="1"/>
  <c r="R166" i="6"/>
  <c r="R168" i="6" s="1"/>
  <c r="Q200" i="6"/>
  <c r="Q91" i="6"/>
  <c r="Q93" i="6" s="1"/>
  <c r="Q95" i="6"/>
  <c r="Q16" i="5" s="1"/>
  <c r="Q288" i="6" s="1"/>
  <c r="Q304" i="6" s="1"/>
  <c r="Q77" i="5" s="1"/>
  <c r="L117" i="5" l="1"/>
  <c r="I265" i="11"/>
  <c r="N117" i="5"/>
  <c r="P76" i="5"/>
  <c r="R200" i="6"/>
  <c r="S200" i="6" s="1"/>
  <c r="R201" i="6"/>
  <c r="S201" i="6" s="1"/>
  <c r="S281" i="6"/>
  <c r="S283" i="6"/>
  <c r="I266" i="11"/>
  <c r="I267" i="11"/>
  <c r="Q286" i="6"/>
  <c r="Q303" i="6" s="1"/>
  <c r="Q58" i="5" s="1"/>
  <c r="J13" i="8"/>
  <c r="Q142" i="6"/>
  <c r="R126" i="6" s="1"/>
  <c r="P164" i="6"/>
  <c r="P61" i="5" s="1"/>
  <c r="P124" i="6"/>
  <c r="H268" i="11"/>
  <c r="Q159" i="6"/>
  <c r="R144" i="6" s="1"/>
  <c r="M138" i="5"/>
  <c r="Q162" i="6"/>
  <c r="I14" i="8"/>
  <c r="R141" i="6"/>
  <c r="P36" i="5"/>
  <c r="I19" i="8" s="1"/>
  <c r="P303" i="6"/>
  <c r="P58" i="5" s="1"/>
  <c r="R198" i="6"/>
  <c r="S198" i="6" s="1"/>
  <c r="R158" i="6"/>
  <c r="P301" i="6"/>
  <c r="P56" i="5" s="1"/>
  <c r="P302" i="6"/>
  <c r="P57" i="5" s="1"/>
  <c r="S141" i="6"/>
  <c r="R202" i="6"/>
  <c r="S202" i="6" s="1"/>
  <c r="O175" i="6"/>
  <c r="O178" i="6" s="1"/>
  <c r="O19" i="5" s="1"/>
  <c r="O20" i="5" s="1"/>
  <c r="R199" i="6"/>
  <c r="S199" i="6" s="1"/>
  <c r="P195" i="6"/>
  <c r="P209" i="6" s="1"/>
  <c r="P80" i="5" s="1"/>
  <c r="P82" i="5" s="1"/>
  <c r="O84" i="5"/>
  <c r="O80" i="5"/>
  <c r="K117" i="5"/>
  <c r="K233" i="6"/>
  <c r="K234" i="6" s="1"/>
  <c r="S286" i="6"/>
  <c r="N13" i="8"/>
  <c r="L13" i="8"/>
  <c r="K267" i="11"/>
  <c r="K265" i="11"/>
  <c r="S62" i="5"/>
  <c r="Q205" i="6"/>
  <c r="R205" i="6" s="1"/>
  <c r="Q204" i="6"/>
  <c r="R204" i="6" s="1"/>
  <c r="N135" i="5"/>
  <c r="N138" i="5" s="1"/>
  <c r="N111" i="5"/>
  <c r="K266" i="11"/>
  <c r="H35" i="8"/>
  <c r="S91" i="6"/>
  <c r="S93" i="6" s="1"/>
  <c r="S95" i="6"/>
  <c r="S16" i="5" s="1"/>
  <c r="S288" i="6" s="1"/>
  <c r="O22" i="5"/>
  <c r="O134" i="5"/>
  <c r="S156" i="6"/>
  <c r="S158" i="6" s="1"/>
  <c r="S145" i="6"/>
  <c r="S123" i="5" s="1"/>
  <c r="Q17" i="4" s="1"/>
  <c r="Q13" i="5"/>
  <c r="Q306" i="6"/>
  <c r="Q78" i="5" s="1"/>
  <c r="R286" i="6"/>
  <c r="K13" i="8"/>
  <c r="J267" i="11"/>
  <c r="R62" i="5"/>
  <c r="S166" i="6"/>
  <c r="S168" i="6" s="1"/>
  <c r="R167" i="6"/>
  <c r="R196" i="6" s="1"/>
  <c r="D206" i="6" s="1"/>
  <c r="O37" i="5"/>
  <c r="H20" i="8" s="1"/>
  <c r="N20" i="8" s="1" a="1"/>
  <c r="N20" i="8" s="1"/>
  <c r="H15" i="8"/>
  <c r="N23" i="5"/>
  <c r="J265" i="11"/>
  <c r="P37" i="5"/>
  <c r="I20" i="8" s="1"/>
  <c r="I15" i="8"/>
  <c r="O79" i="5"/>
  <c r="O309" i="6"/>
  <c r="O311" i="6" s="1"/>
  <c r="M16" i="4" s="1"/>
  <c r="J266" i="11"/>
  <c r="R91" i="6"/>
  <c r="R93" i="6" s="1"/>
  <c r="R95" i="6"/>
  <c r="R16" i="5" s="1"/>
  <c r="R288" i="6" s="1"/>
  <c r="R304" i="6" s="1"/>
  <c r="R77" i="5" s="1"/>
  <c r="Q203" i="6"/>
  <c r="R203" i="6" s="1"/>
  <c r="S304" i="6" l="1"/>
  <c r="S77" i="5" s="1"/>
  <c r="I268" i="11"/>
  <c r="Q301" i="6"/>
  <c r="Q56" i="5" s="1"/>
  <c r="Q124" i="6"/>
  <c r="Q164" i="6" s="1"/>
  <c r="R124" i="6" s="1"/>
  <c r="Q302" i="6"/>
  <c r="Q57" i="5" s="1"/>
  <c r="Q305" i="6"/>
  <c r="Q76" i="5" s="1"/>
  <c r="R142" i="6"/>
  <c r="S126" i="6" s="1"/>
  <c r="S142" i="6" s="1"/>
  <c r="R162" i="6"/>
  <c r="R159" i="6"/>
  <c r="S144" i="6" s="1"/>
  <c r="S159" i="6" s="1"/>
  <c r="P309" i="6"/>
  <c r="P311" i="6" s="1"/>
  <c r="N16" i="4" s="1"/>
  <c r="S162" i="6"/>
  <c r="O82" i="5"/>
  <c r="M15" i="4"/>
  <c r="O108" i="5"/>
  <c r="O176" i="6"/>
  <c r="Q195" i="6"/>
  <c r="Q209" i="6" s="1"/>
  <c r="P211" i="6"/>
  <c r="P22" i="5" s="1"/>
  <c r="K65" i="5"/>
  <c r="K126" i="5"/>
  <c r="K129" i="5" s="1"/>
  <c r="L232" i="6"/>
  <c r="K55" i="5"/>
  <c r="K228" i="6"/>
  <c r="P84" i="5"/>
  <c r="J268" i="11"/>
  <c r="S204" i="6"/>
  <c r="S203" i="6"/>
  <c r="S205" i="6"/>
  <c r="Q287" i="6"/>
  <c r="Q14" i="5"/>
  <c r="R301" i="6"/>
  <c r="R303" i="6"/>
  <c r="R58" i="5" s="1"/>
  <c r="R305" i="6"/>
  <c r="R76" i="5" s="1"/>
  <c r="R302" i="6"/>
  <c r="R57" i="5" s="1"/>
  <c r="R13" i="5"/>
  <c r="R306" i="6"/>
  <c r="R78" i="5" s="1"/>
  <c r="K268" i="11"/>
  <c r="O111" i="5"/>
  <c r="O135" i="5"/>
  <c r="O138" i="5" s="1"/>
  <c r="R206" i="6"/>
  <c r="S206" i="6" s="1"/>
  <c r="S301" i="6"/>
  <c r="S303" i="6"/>
  <c r="S58" i="5" s="1"/>
  <c r="S305" i="6"/>
  <c r="S76" i="5" s="1"/>
  <c r="S302" i="6"/>
  <c r="S57" i="5" s="1"/>
  <c r="M12" i="4"/>
  <c r="O23" i="5"/>
  <c r="S13" i="5"/>
  <c r="S306" i="6"/>
  <c r="S78" i="5" s="1"/>
  <c r="S167" i="6"/>
  <c r="S196" i="6" s="1"/>
  <c r="D207" i="6" s="1"/>
  <c r="S207" i="6" s="1"/>
  <c r="P117" i="5" l="1"/>
  <c r="Q61" i="5"/>
  <c r="R164" i="6"/>
  <c r="R61" i="5" s="1"/>
  <c r="P134" i="5"/>
  <c r="O64" i="5"/>
  <c r="P174" i="6"/>
  <c r="L127" i="5"/>
  <c r="K236" i="6"/>
  <c r="Q80" i="5"/>
  <c r="Q211" i="6"/>
  <c r="R195" i="6"/>
  <c r="R209" i="6" s="1"/>
  <c r="Q84" i="5"/>
  <c r="S287" i="6"/>
  <c r="S14" i="5"/>
  <c r="Q36" i="5"/>
  <c r="J19" i="8" s="1"/>
  <c r="Q17" i="5"/>
  <c r="J14" i="8"/>
  <c r="Q307" i="6"/>
  <c r="Q308" i="6"/>
  <c r="Q81" i="5" s="1"/>
  <c r="S56" i="5"/>
  <c r="R287" i="6"/>
  <c r="R14" i="5"/>
  <c r="O117" i="5"/>
  <c r="R56" i="5"/>
  <c r="P111" i="5"/>
  <c r="P135" i="5"/>
  <c r="S124" i="6" l="1"/>
  <c r="S164" i="6" s="1"/>
  <c r="S61" i="5" s="1"/>
  <c r="P138" i="5"/>
  <c r="P175" i="6"/>
  <c r="P178" i="6" s="1"/>
  <c r="P19" i="5" s="1"/>
  <c r="L110" i="5"/>
  <c r="K25" i="5"/>
  <c r="K26" i="5" s="1"/>
  <c r="S36" i="5"/>
  <c r="L19" i="8" s="1"/>
  <c r="N14" i="8"/>
  <c r="S17" i="5"/>
  <c r="L14" i="8"/>
  <c r="S308" i="6"/>
  <c r="S81" i="5" s="1"/>
  <c r="S307" i="6"/>
  <c r="Q79" i="5"/>
  <c r="Q82" i="5" s="1"/>
  <c r="Q309" i="6"/>
  <c r="Q311" i="6" s="1"/>
  <c r="O16" i="4" s="1"/>
  <c r="R36" i="5"/>
  <c r="K19" i="8" s="1"/>
  <c r="N19" i="8" s="1" a="1"/>
  <c r="N19" i="8" s="1"/>
  <c r="R17" i="5"/>
  <c r="K14" i="8"/>
  <c r="R80" i="5"/>
  <c r="R84" i="5"/>
  <c r="R211" i="6"/>
  <c r="S195" i="6"/>
  <c r="S209" i="6" s="1"/>
  <c r="R307" i="6"/>
  <c r="R308" i="6"/>
  <c r="R81" i="5" s="1"/>
  <c r="Q22" i="5"/>
  <c r="Q134" i="5"/>
  <c r="Q37" i="5"/>
  <c r="J20" i="8" s="1"/>
  <c r="J15" i="8"/>
  <c r="P176" i="6" l="1"/>
  <c r="P64" i="5" s="1"/>
  <c r="N15" i="4"/>
  <c r="P108" i="5"/>
  <c r="P20" i="5"/>
  <c r="K107" i="5"/>
  <c r="K115" i="5" s="1"/>
  <c r="K252" i="6"/>
  <c r="K268" i="6" s="1"/>
  <c r="Q111" i="5"/>
  <c r="Q135" i="5"/>
  <c r="Q138" i="5" s="1"/>
  <c r="R37" i="5"/>
  <c r="K20" i="8" s="1"/>
  <c r="K15" i="8"/>
  <c r="R79" i="5"/>
  <c r="R82" i="5" s="1"/>
  <c r="R309" i="6"/>
  <c r="R311" i="6" s="1"/>
  <c r="P16" i="4" s="1"/>
  <c r="L15" i="8"/>
  <c r="N15" i="8"/>
  <c r="S37" i="5"/>
  <c r="L20" i="8" s="1"/>
  <c r="S80" i="5"/>
  <c r="S84" i="5"/>
  <c r="S211" i="6"/>
  <c r="R134" i="5"/>
  <c r="R22" i="5"/>
  <c r="S79" i="5"/>
  <c r="S309" i="6"/>
  <c r="S311" i="6" l="1"/>
  <c r="Q16" i="4" s="1"/>
  <c r="Q174" i="6"/>
  <c r="Q175" i="6" s="1"/>
  <c r="Q178" i="6" s="1"/>
  <c r="Q19" i="5" s="1"/>
  <c r="N12" i="4"/>
  <c r="P23" i="5"/>
  <c r="K67" i="5"/>
  <c r="K70" i="5" s="1"/>
  <c r="K253" i="6"/>
  <c r="K254" i="6" s="1"/>
  <c r="K255" i="6" s="1"/>
  <c r="K259" i="6" s="1"/>
  <c r="K264" i="6" s="1"/>
  <c r="K28" i="5" s="1"/>
  <c r="K29" i="5" s="1"/>
  <c r="K33" i="5" s="1"/>
  <c r="K269" i="6"/>
  <c r="S134" i="5"/>
  <c r="S22" i="5"/>
  <c r="S82" i="5"/>
  <c r="R111" i="5"/>
  <c r="R135" i="5"/>
  <c r="R138" i="5" s="1"/>
  <c r="Q117" i="5"/>
  <c r="S117" i="5" l="1"/>
  <c r="Q108" i="5"/>
  <c r="O15" i="4"/>
  <c r="Q20" i="5"/>
  <c r="Q176" i="6"/>
  <c r="L267" i="6"/>
  <c r="K256" i="6"/>
  <c r="K257" i="6" s="1"/>
  <c r="K262" i="6" s="1"/>
  <c r="R117" i="5"/>
  <c r="K38" i="5"/>
  <c r="D21" i="8" s="1"/>
  <c r="K337" i="6"/>
  <c r="K338" i="6" s="1"/>
  <c r="L336" i="6" s="1"/>
  <c r="D16" i="8"/>
  <c r="S135" i="5"/>
  <c r="S138" i="5" s="1"/>
  <c r="S111" i="5"/>
  <c r="Q64" i="5" l="1"/>
  <c r="R174" i="6"/>
  <c r="Q23" i="5"/>
  <c r="Q252" i="6" s="1"/>
  <c r="O12" i="4"/>
  <c r="K263" i="6"/>
  <c r="K85" i="5" s="1"/>
  <c r="K87" i="5" s="1"/>
  <c r="K89" i="5" s="1"/>
  <c r="K118" i="5"/>
  <c r="K120" i="5" s="1"/>
  <c r="K141" i="5" s="1"/>
  <c r="K143" i="5" s="1"/>
  <c r="I13" i="4"/>
  <c r="I14" i="4" s="1"/>
  <c r="I18" i="4" s="1"/>
  <c r="I22" i="4" l="1"/>
  <c r="R175" i="6"/>
  <c r="R178" i="6" s="1"/>
  <c r="R19" i="5" s="1"/>
  <c r="L142" i="5"/>
  <c r="K54" i="5"/>
  <c r="R176" i="6" l="1"/>
  <c r="R64" i="5" s="1"/>
  <c r="R108" i="5"/>
  <c r="P15" i="4"/>
  <c r="R20" i="5"/>
  <c r="K59" i="5"/>
  <c r="K72" i="5" s="1"/>
  <c r="K340" i="6" s="1"/>
  <c r="K344" i="6" s="1"/>
  <c r="K91" i="5" s="1"/>
  <c r="K39" i="5" s="1"/>
  <c r="D22" i="8" s="1"/>
  <c r="L233" i="6"/>
  <c r="L234" i="6" s="1"/>
  <c r="S174" i="6" l="1"/>
  <c r="S175" i="6" s="1"/>
  <c r="S178" i="6" s="1"/>
  <c r="S19" i="5" s="1"/>
  <c r="P12" i="4"/>
  <c r="R23" i="5"/>
  <c r="R252" i="6" s="1"/>
  <c r="K93" i="5"/>
  <c r="L65" i="5"/>
  <c r="M232" i="6"/>
  <c r="L126" i="5"/>
  <c r="L129" i="5" s="1"/>
  <c r="L55" i="5"/>
  <c r="L228" i="6"/>
  <c r="S108" i="5" l="1"/>
  <c r="Q15" i="4"/>
  <c r="S20" i="5"/>
  <c r="S176" i="6"/>
  <c r="S64" i="5" s="1"/>
  <c r="M127" i="5"/>
  <c r="L236" i="6"/>
  <c r="Q12" i="4" l="1"/>
  <c r="S23" i="5"/>
  <c r="S252" i="6" s="1"/>
  <c r="M110" i="5"/>
  <c r="L25" i="5"/>
  <c r="L26" i="5" s="1"/>
  <c r="L107" i="5" l="1"/>
  <c r="L115" i="5" s="1"/>
  <c r="L252" i="6"/>
  <c r="L268" i="6" s="1"/>
  <c r="L253" i="6" s="1"/>
  <c r="L67" i="5" l="1"/>
  <c r="L70" i="5" s="1"/>
  <c r="L269" i="6"/>
  <c r="M267" i="6" s="1"/>
  <c r="L254" i="6"/>
  <c r="L255" i="6" s="1"/>
  <c r="L259" i="6" l="1"/>
  <c r="L256" i="6"/>
  <c r="L257" i="6" s="1"/>
  <c r="L262" i="6" s="1"/>
  <c r="L118" i="5" l="1"/>
  <c r="L120" i="5" s="1"/>
  <c r="L141" i="5" s="1"/>
  <c r="L143" i="5" s="1"/>
  <c r="J13" i="4"/>
  <c r="J14" i="4" s="1"/>
  <c r="L264" i="6"/>
  <c r="L28" i="5" s="1"/>
  <c r="L29" i="5" s="1"/>
  <c r="L33" i="5" s="1"/>
  <c r="L263" i="6"/>
  <c r="L85" i="5" s="1"/>
  <c r="L87" i="5" s="1"/>
  <c r="L89" i="5" s="1"/>
  <c r="J18" i="4" l="1"/>
  <c r="J22" i="4" s="1"/>
  <c r="L38" i="5"/>
  <c r="E21" i="8" s="1"/>
  <c r="L337" i="6"/>
  <c r="L338" i="6" s="1"/>
  <c r="M336" i="6" s="1"/>
  <c r="E16" i="8"/>
  <c r="M142" i="5"/>
  <c r="L54" i="5"/>
  <c r="L59" i="5" l="1"/>
  <c r="L72" i="5" s="1"/>
  <c r="M233" i="6"/>
  <c r="M234" i="6" s="1"/>
  <c r="M65" i="5" l="1"/>
  <c r="M126" i="5"/>
  <c r="M129" i="5" s="1"/>
  <c r="M55" i="5"/>
  <c r="N232" i="6"/>
  <c r="M228" i="6"/>
  <c r="L340" i="6"/>
  <c r="L344" i="6" s="1"/>
  <c r="L91" i="5" s="1"/>
  <c r="L39" i="5" s="1"/>
  <c r="E22" i="8" s="1"/>
  <c r="N127" i="5" l="1"/>
  <c r="M236" i="6"/>
  <c r="L93" i="5"/>
  <c r="M25" i="5" l="1"/>
  <c r="M26" i="5" s="1"/>
  <c r="N110" i="5"/>
  <c r="M107" i="5" l="1"/>
  <c r="M115" i="5" s="1"/>
  <c r="M252" i="6"/>
  <c r="M268" i="6" l="1"/>
  <c r="M253" i="6" l="1"/>
  <c r="M67" i="5"/>
  <c r="M70" i="5" s="1"/>
  <c r="M269" i="6"/>
  <c r="N267" i="6" l="1"/>
  <c r="M254" i="6"/>
  <c r="M255" i="6" s="1"/>
  <c r="M256" i="6" s="1"/>
  <c r="M259" i="6" l="1"/>
  <c r="M257" i="6"/>
  <c r="M262" i="6" s="1"/>
  <c r="M118" i="5" l="1"/>
  <c r="M120" i="5" s="1"/>
  <c r="M141" i="5" s="1"/>
  <c r="M143" i="5" s="1"/>
  <c r="K13" i="4"/>
  <c r="K14" i="4" s="1"/>
  <c r="M263" i="6"/>
  <c r="M85" i="5" s="1"/>
  <c r="M87" i="5" s="1"/>
  <c r="M89" i="5" s="1"/>
  <c r="M264" i="6"/>
  <c r="M28" i="5" s="1"/>
  <c r="M29" i="5" s="1"/>
  <c r="M33" i="5" s="1"/>
  <c r="K18" i="4" l="1"/>
  <c r="K22" i="4" s="1"/>
  <c r="M38" i="5"/>
  <c r="F21" i="8" s="1"/>
  <c r="M337" i="6"/>
  <c r="M338" i="6" s="1"/>
  <c r="N336" i="6" s="1"/>
  <c r="F16" i="8"/>
  <c r="M54" i="5"/>
  <c r="N142" i="5"/>
  <c r="M59" i="5" l="1"/>
  <c r="M72" i="5" s="1"/>
  <c r="N233" i="6"/>
  <c r="N234" i="6" s="1"/>
  <c r="N65" i="5" l="1"/>
  <c r="N126" i="5"/>
  <c r="N129" i="5" s="1"/>
  <c r="N55" i="5"/>
  <c r="O232" i="6"/>
  <c r="N228" i="6"/>
  <c r="M340" i="6"/>
  <c r="M344" i="6" s="1"/>
  <c r="M91" i="5" s="1"/>
  <c r="M39" i="5" s="1"/>
  <c r="F22" i="8" s="1"/>
  <c r="M93" i="5" l="1"/>
  <c r="N236" i="6"/>
  <c r="O127" i="5"/>
  <c r="N25" i="5" l="1"/>
  <c r="N26" i="5" s="1"/>
  <c r="O110" i="5"/>
  <c r="N252" i="6" l="1"/>
  <c r="N107" i="5"/>
  <c r="N115" i="5" s="1"/>
  <c r="N268" i="6" l="1"/>
  <c r="N67" i="5" l="1"/>
  <c r="N70" i="5" s="1"/>
  <c r="N253" i="6"/>
  <c r="N269" i="6"/>
  <c r="O267" i="6" l="1"/>
  <c r="N254" i="6"/>
  <c r="N255" i="6" s="1"/>
  <c r="N259" i="6" l="1"/>
  <c r="N256" i="6"/>
  <c r="N257" i="6" s="1"/>
  <c r="N262" i="6" s="1"/>
  <c r="N118" i="5" l="1"/>
  <c r="N120" i="5" s="1"/>
  <c r="N141" i="5" s="1"/>
  <c r="N143" i="5" s="1"/>
  <c r="L13" i="4"/>
  <c r="L14" i="4" s="1"/>
  <c r="N263" i="6"/>
  <c r="N85" i="5" s="1"/>
  <c r="N87" i="5" s="1"/>
  <c r="N89" i="5" s="1"/>
  <c r="N264" i="6"/>
  <c r="N28" i="5" s="1"/>
  <c r="N29" i="5" s="1"/>
  <c r="N33" i="5" s="1"/>
  <c r="L18" i="4" l="1"/>
  <c r="L22" i="4" s="1"/>
  <c r="D32" i="3"/>
  <c r="N38" i="5"/>
  <c r="G16" i="8"/>
  <c r="N337" i="6"/>
  <c r="N338" i="6" s="1"/>
  <c r="O336" i="6" s="1"/>
  <c r="N54" i="5"/>
  <c r="O142" i="5"/>
  <c r="N59" i="5" l="1"/>
  <c r="N72" i="5" s="1"/>
  <c r="O233" i="6"/>
  <c r="O234" i="6" s="1"/>
  <c r="E32" i="3"/>
  <c r="G21" i="8"/>
  <c r="D33" i="3" l="1"/>
  <c r="D35" i="3" s="1"/>
  <c r="D36" i="3" s="1"/>
  <c r="M60" i="8" s="1"/>
  <c r="O126" i="5"/>
  <c r="O129" i="5" s="1"/>
  <c r="O65" i="5"/>
  <c r="O55" i="5"/>
  <c r="P232" i="6"/>
  <c r="O228" i="6"/>
  <c r="N340" i="6"/>
  <c r="N344" i="6" s="1"/>
  <c r="N91" i="5" s="1"/>
  <c r="N39" i="5" s="1"/>
  <c r="G22" i="8" s="1"/>
  <c r="N93" i="5" l="1"/>
  <c r="P127" i="5"/>
  <c r="O236" i="6"/>
  <c r="O25" i="5" l="1"/>
  <c r="O26" i="5" s="1"/>
  <c r="P110" i="5"/>
  <c r="O107" i="5" l="1"/>
  <c r="O115" i="5" s="1"/>
  <c r="O252" i="6"/>
  <c r="O268" i="6" l="1"/>
  <c r="O67" i="5" l="1"/>
  <c r="O70" i="5" s="1"/>
  <c r="O253" i="6"/>
  <c r="O269" i="6"/>
  <c r="P267" i="6" l="1"/>
  <c r="O254" i="6"/>
  <c r="O255" i="6" s="1"/>
  <c r="O259" i="6" l="1"/>
  <c r="O256" i="6"/>
  <c r="O257" i="6" s="1"/>
  <c r="O262" i="6" s="1"/>
  <c r="O118" i="5" l="1"/>
  <c r="O120" i="5" s="1"/>
  <c r="O141" i="5" s="1"/>
  <c r="O143" i="5" s="1"/>
  <c r="M13" i="4"/>
  <c r="M14" i="4" s="1"/>
  <c r="O264" i="6"/>
  <c r="O28" i="5" s="1"/>
  <c r="O29" i="5" s="1"/>
  <c r="O33" i="5" s="1"/>
  <c r="O263" i="6"/>
  <c r="O85" i="5" s="1"/>
  <c r="O87" i="5" s="1"/>
  <c r="O89" i="5" s="1"/>
  <c r="M18" i="4" l="1"/>
  <c r="M22" i="4" s="1"/>
  <c r="O38" i="5"/>
  <c r="H21" i="8" s="1"/>
  <c r="O337" i="6"/>
  <c r="O338" i="6" s="1"/>
  <c r="P336" i="6" s="1"/>
  <c r="H16" i="8"/>
  <c r="O54" i="5"/>
  <c r="P142" i="5"/>
  <c r="O59" i="5" l="1"/>
  <c r="O72" i="5" s="1"/>
  <c r="P233" i="6"/>
  <c r="P234" i="6" s="1"/>
  <c r="P126" i="5" l="1"/>
  <c r="P129" i="5" s="1"/>
  <c r="P55" i="5"/>
  <c r="P65" i="5"/>
  <c r="Q232" i="6"/>
  <c r="P228" i="6"/>
  <c r="O340" i="6"/>
  <c r="O344" i="6" s="1"/>
  <c r="O91" i="5" s="1"/>
  <c r="O39" i="5" s="1"/>
  <c r="H22" i="8" s="1"/>
  <c r="Q127" i="5" l="1"/>
  <c r="P236" i="6"/>
  <c r="O93" i="5"/>
  <c r="Q110" i="5" l="1"/>
  <c r="P25" i="5"/>
  <c r="P26" i="5" s="1"/>
  <c r="P107" i="5" l="1"/>
  <c r="P115" i="5" s="1"/>
  <c r="P252" i="6"/>
  <c r="P268" i="6" l="1"/>
  <c r="P67" i="5" l="1"/>
  <c r="P70" i="5" s="1"/>
  <c r="P253" i="6"/>
  <c r="P269" i="6"/>
  <c r="P254" i="6" l="1"/>
  <c r="P255" i="6" s="1"/>
  <c r="P256" i="6" s="1"/>
  <c r="Q267" i="6"/>
  <c r="Q268" i="6" l="1"/>
  <c r="P259" i="6"/>
  <c r="P257" i="6"/>
  <c r="P262" i="6" s="1"/>
  <c r="N13" i="4" l="1"/>
  <c r="N14" i="4" s="1"/>
  <c r="P118" i="5"/>
  <c r="P120" i="5" s="1"/>
  <c r="P141" i="5" s="1"/>
  <c r="P143" i="5" s="1"/>
  <c r="P263" i="6"/>
  <c r="P85" i="5" s="1"/>
  <c r="P87" i="5" s="1"/>
  <c r="P89" i="5" s="1"/>
  <c r="P264" i="6"/>
  <c r="P28" i="5" s="1"/>
  <c r="P29" i="5" s="1"/>
  <c r="P33" i="5" s="1"/>
  <c r="Q67" i="5"/>
  <c r="Q253" i="6"/>
  <c r="Q269" i="6"/>
  <c r="N18" i="4" l="1"/>
  <c r="N22" i="4" s="1"/>
  <c r="P38" i="5"/>
  <c r="I21" i="8" s="1"/>
  <c r="P337" i="6"/>
  <c r="P338" i="6" s="1"/>
  <c r="Q336" i="6" s="1"/>
  <c r="I16" i="8"/>
  <c r="Q254" i="6"/>
  <c r="Q255" i="6" s="1"/>
  <c r="P54" i="5"/>
  <c r="Q142" i="5"/>
  <c r="R267" i="6"/>
  <c r="Q259" i="6" l="1"/>
  <c r="Q256" i="6"/>
  <c r="Q257" i="6" s="1"/>
  <c r="Q262" i="6" s="1"/>
  <c r="R268" i="6"/>
  <c r="P59" i="5"/>
  <c r="P72" i="5" s="1"/>
  <c r="Q233" i="6"/>
  <c r="Q234" i="6" s="1"/>
  <c r="O13" i="4" l="1"/>
  <c r="O14" i="4" s="1"/>
  <c r="Q118" i="5"/>
  <c r="P340" i="6"/>
  <c r="P344" i="6" s="1"/>
  <c r="P91" i="5" s="1"/>
  <c r="P39" i="5" s="1"/>
  <c r="I22" i="8" s="1"/>
  <c r="R67" i="5"/>
  <c r="R253" i="6"/>
  <c r="R255" i="6" s="1"/>
  <c r="R269" i="6"/>
  <c r="Q55" i="5"/>
  <c r="Q65" i="5"/>
  <c r="Q70" i="5" s="1"/>
  <c r="R232" i="6"/>
  <c r="Q126" i="5"/>
  <c r="Q129" i="5" s="1"/>
  <c r="Q228" i="6"/>
  <c r="Q264" i="6"/>
  <c r="Q28" i="5" s="1"/>
  <c r="Q263" i="6"/>
  <c r="Q85" i="5" s="1"/>
  <c r="Q87" i="5" s="1"/>
  <c r="Q89" i="5" s="1"/>
  <c r="O18" i="4" l="1"/>
  <c r="O22" i="4" s="1"/>
  <c r="P93" i="5"/>
  <c r="R259" i="6"/>
  <c r="R127" i="5"/>
  <c r="Q236" i="6"/>
  <c r="S267" i="6"/>
  <c r="R256" i="6"/>
  <c r="R257" i="6" s="1"/>
  <c r="R262" i="6" s="1"/>
  <c r="R118" i="5" l="1"/>
  <c r="P13" i="4"/>
  <c r="P14" i="4" s="1"/>
  <c r="S268" i="6"/>
  <c r="S269" i="6" s="1"/>
  <c r="R110" i="5"/>
  <c r="Q25" i="5"/>
  <c r="Q26" i="5" s="1"/>
  <c r="R264" i="6"/>
  <c r="R28" i="5" s="1"/>
  <c r="R263" i="6"/>
  <c r="R85" i="5" s="1"/>
  <c r="R87" i="5" s="1"/>
  <c r="R89" i="5" s="1"/>
  <c r="P18" i="4" l="1"/>
  <c r="P22" i="4" s="1"/>
  <c r="Q107" i="5"/>
  <c r="Q115" i="5" s="1"/>
  <c r="Q120" i="5" s="1"/>
  <c r="Q141" i="5" s="1"/>
  <c r="Q143" i="5" s="1"/>
  <c r="Q29" i="5"/>
  <c r="Q33" i="5" s="1"/>
  <c r="S67" i="5"/>
  <c r="S253" i="6"/>
  <c r="S255" i="6" s="1"/>
  <c r="S259" i="6" l="1"/>
  <c r="Q337" i="6"/>
  <c r="Q338" i="6" s="1"/>
  <c r="R336" i="6" s="1"/>
  <c r="Q38" i="5"/>
  <c r="J21" i="8" s="1"/>
  <c r="J16" i="8"/>
  <c r="R142" i="5"/>
  <c r="Q54" i="5"/>
  <c r="S256" i="6"/>
  <c r="S257" i="6" s="1"/>
  <c r="S262" i="6" s="1"/>
  <c r="Q13" i="4" l="1"/>
  <c r="Q14" i="4" s="1"/>
  <c r="S118" i="5"/>
  <c r="Q59" i="5"/>
  <c r="Q72" i="5" s="1"/>
  <c r="R233" i="6"/>
  <c r="R234" i="6" s="1"/>
  <c r="S264" i="6"/>
  <c r="S28" i="5" s="1"/>
  <c r="S263" i="6"/>
  <c r="S85" i="5" s="1"/>
  <c r="S87" i="5" s="1"/>
  <c r="S89" i="5" s="1"/>
  <c r="Q18" i="4" l="1"/>
  <c r="Q22" i="4" s="1"/>
  <c r="R55" i="5"/>
  <c r="R126" i="5"/>
  <c r="R129" i="5" s="1"/>
  <c r="S232" i="6"/>
  <c r="R65" i="5"/>
  <c r="R70" i="5" s="1"/>
  <c r="R228" i="6"/>
  <c r="Q340" i="6"/>
  <c r="Q344" i="6" s="1"/>
  <c r="Q91" i="5" s="1"/>
  <c r="Q39" i="5" s="1"/>
  <c r="J22" i="8" s="1"/>
  <c r="I39" i="4" l="1"/>
  <c r="I40" i="4" s="1"/>
  <c r="I25" i="4" s="1"/>
  <c r="I24" i="4"/>
  <c r="Q93" i="5"/>
  <c r="S127" i="5"/>
  <c r="R236" i="6"/>
  <c r="I26" i="4" l="1"/>
  <c r="I28" i="4" s="1"/>
  <c r="I32" i="4" s="1"/>
  <c r="I34" i="4" s="1"/>
  <c r="S110" i="5"/>
  <c r="R25" i="5"/>
  <c r="R26" i="5" s="1"/>
  <c r="H67" i="8" l="1"/>
  <c r="J60" i="8" s="1"/>
  <c r="H66" i="8"/>
  <c r="G60" i="8" s="1"/>
  <c r="L26" i="4"/>
  <c r="H65" i="8"/>
  <c r="B60" i="8"/>
  <c r="M53" i="8" s="1"/>
  <c r="R107" i="5"/>
  <c r="R115" i="5" s="1"/>
  <c r="R120" i="5" s="1"/>
  <c r="R141" i="5" s="1"/>
  <c r="R143" i="5" s="1"/>
  <c r="R29" i="5"/>
  <c r="R33" i="5" s="1"/>
  <c r="D53" i="8"/>
  <c r="R38" i="5" l="1"/>
  <c r="K21" i="8" s="1"/>
  <c r="R337" i="6"/>
  <c r="R338" i="6" s="1"/>
  <c r="S336" i="6" s="1"/>
  <c r="K16" i="8"/>
  <c r="S142" i="5"/>
  <c r="R54" i="5"/>
  <c r="R59" i="5" l="1"/>
  <c r="R72" i="5" s="1"/>
  <c r="S233" i="6"/>
  <c r="S234" i="6" s="1"/>
  <c r="S55" i="5" l="1"/>
  <c r="S65" i="5"/>
  <c r="S70" i="5" s="1"/>
  <c r="S126" i="5"/>
  <c r="S129" i="5" s="1"/>
  <c r="S228" i="6"/>
  <c r="S236" i="6" s="1"/>
  <c r="S25" i="5" s="1"/>
  <c r="S26" i="5" s="1"/>
  <c r="R340" i="6"/>
  <c r="R344" i="6" s="1"/>
  <c r="R91" i="5" s="1"/>
  <c r="R39" i="5" s="1"/>
  <c r="K22" i="8" s="1"/>
  <c r="R93" i="5" l="1"/>
  <c r="S29" i="5"/>
  <c r="S33" i="5" s="1"/>
  <c r="S107" i="5"/>
  <c r="S115" i="5" s="1"/>
  <c r="S120" i="5" s="1"/>
  <c r="S141" i="5" s="1"/>
  <c r="S143" i="5" s="1"/>
  <c r="S54" i="5" s="1"/>
  <c r="S59" i="5" s="1"/>
  <c r="S72" i="5" s="1"/>
  <c r="S38" i="5" l="1"/>
  <c r="L21" i="8" s="1"/>
  <c r="N21" i="8" s="1" a="1"/>
  <c r="N21" i="8" s="1"/>
  <c r="S337" i="6"/>
  <c r="S338" i="6" s="1"/>
  <c r="S340" i="6" s="1"/>
  <c r="S344" i="6" s="1"/>
  <c r="S91" i="5" s="1"/>
  <c r="L16" i="8"/>
  <c r="N16" i="8"/>
  <c r="S93" i="5" l="1"/>
  <c r="S39" i="5"/>
  <c r="L22" i="8" s="1"/>
  <c r="N22" i="8" s="1" a="1"/>
  <c r="N22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<sst xmlns="http://schemas.openxmlformats.org/spreadsheetml/2006/main" count="1436" uniqueCount="893">
  <si>
    <t>ONE 97 Communications</t>
  </si>
  <si>
    <t>Limited</t>
  </si>
  <si>
    <t>ONE 97 COMMUNICATIONS LIMITED</t>
  </si>
  <si>
    <t>NSE : PAYTM</t>
  </si>
  <si>
    <t>India's leading digital ecosystem for consumers as well as merchants</t>
  </si>
  <si>
    <t>DOCUMENT TYPE:</t>
  </si>
  <si>
    <t>Model Type</t>
  </si>
  <si>
    <t>Financial Model Solution</t>
  </si>
  <si>
    <t>3-Statement + DCF + Comps</t>
  </si>
  <si>
    <t>Horizontal Orientation</t>
  </si>
  <si>
    <t>Currency</t>
  </si>
  <si>
    <t>₹ Indian Rupee (millions)</t>
  </si>
  <si>
    <t>Prepared By:</t>
  </si>
  <si>
    <t>Nikhil Kukreja</t>
  </si>
  <si>
    <t>Financial Modeling - Practice Case</t>
  </si>
  <si>
    <t>For educational practice purposes only. Not investment advice.</t>
  </si>
  <si>
    <t>Assumption Sheet</t>
  </si>
  <si>
    <t>General</t>
  </si>
  <si>
    <t>Equity</t>
  </si>
  <si>
    <t>x</t>
  </si>
  <si>
    <t>-</t>
  </si>
  <si>
    <t>First year of forecast in financial model</t>
  </si>
  <si>
    <t>Payment services</t>
  </si>
  <si>
    <t>Marketing services</t>
  </si>
  <si>
    <t>Payment services segment</t>
  </si>
  <si>
    <t>Payment services segment TAM</t>
  </si>
  <si>
    <t>in millions</t>
  </si>
  <si>
    <t>FY26</t>
  </si>
  <si>
    <t>Total consumption</t>
  </si>
  <si>
    <t>INR trillions</t>
  </si>
  <si>
    <t>% of total digital payment-led consumption</t>
  </si>
  <si>
    <t>Total P2M digital payments market</t>
  </si>
  <si>
    <t>Payment processing as a % of payment services revenue</t>
  </si>
  <si>
    <t>Subscription revenue as a % of payment services revenue</t>
  </si>
  <si>
    <t>Growth rate in consumption</t>
  </si>
  <si>
    <t>per annum</t>
  </si>
  <si>
    <t>Paytm's market share in P2M market</t>
  </si>
  <si>
    <t>Blended take-away rate in P2M</t>
  </si>
  <si>
    <t>Total number of merchants</t>
  </si>
  <si>
    <t>Paytm's GMV market share in P2M market</t>
  </si>
  <si>
    <t>% of merchants accepting digital payments</t>
  </si>
  <si>
    <t>Subscription revenue per device per month</t>
  </si>
  <si>
    <t>Implied number of devices as a % of total merchants</t>
  </si>
  <si>
    <t>Growth expected in number of merchants</t>
  </si>
  <si>
    <t>Total number of subscription devices</t>
  </si>
  <si>
    <t>Growth assumed in subscription revenue per device</t>
  </si>
  <si>
    <t>Industry P2M UPI GMV in FY26</t>
  </si>
  <si>
    <t>% of total UPI-led consumption in FY26</t>
  </si>
  <si>
    <t>Year to be UPI MDR introduced</t>
  </si>
  <si>
    <t>MDR assumed</t>
  </si>
  <si>
    <t>Paytm's share in UPI P2M in FY26</t>
  </si>
  <si>
    <t>% of UPI value above INR 2,000</t>
  </si>
  <si>
    <t>PIDF is being scaled down to zero so other operating revenue hasn't been forecasted</t>
  </si>
  <si>
    <t>Quarter 4:</t>
  </si>
  <si>
    <t>UPI incentive assumed to stay flat for four years, then MDR is introduced</t>
  </si>
  <si>
    <t>UPI incentive received in FY25</t>
  </si>
  <si>
    <t>Blended take-away rate in payment processing</t>
  </si>
  <si>
    <t>Financial services segment</t>
  </si>
  <si>
    <t>Financial services segment TAM</t>
  </si>
  <si>
    <t>Merchant-led credit</t>
  </si>
  <si>
    <t>FY26 Q3</t>
  </si>
  <si>
    <t>Ticket size</t>
  </si>
  <si>
    <t>in 000's</t>
  </si>
  <si>
    <t>Growth in ticket size</t>
  </si>
  <si>
    <t>Loan as a % of total number of subscription devices</t>
  </si>
  <si>
    <t>FY27-FY28</t>
  </si>
  <si>
    <t>Number of loans outstanding</t>
  </si>
  <si>
    <t>FY29-FY30</t>
  </si>
  <si>
    <t>Blended rate earned</t>
  </si>
  <si>
    <t>FY31-FY33</t>
  </si>
  <si>
    <t>Implied sources of revenue as a % of segment revenue in FY26 Q3:</t>
  </si>
  <si>
    <t>CAGR</t>
  </si>
  <si>
    <t>Consumer-led credit</t>
  </si>
  <si>
    <t>Paytm Money</t>
  </si>
  <si>
    <t xml:space="preserve">Consumer-led credit growth </t>
  </si>
  <si>
    <t>Paytm money growth</t>
  </si>
  <si>
    <t>Marketing services segment</t>
  </si>
  <si>
    <t>Marketing services segment TAM</t>
  </si>
  <si>
    <t>Expected number of users of fintech apps in FY26</t>
  </si>
  <si>
    <t>Revenue</t>
  </si>
  <si>
    <t>India's internet penetration in FY26</t>
  </si>
  <si>
    <t>MTUs</t>
  </si>
  <si>
    <t>Implied fintech users % as of total internet users</t>
  </si>
  <si>
    <t>Revenue per MTU</t>
  </si>
  <si>
    <t>abs</t>
  </si>
  <si>
    <t>Revenue per MTU have been on a downward trajectory, but management expects it to increase from next quarter.</t>
  </si>
  <si>
    <t>Expected growth in revenue per MTU</t>
  </si>
  <si>
    <t>Cost</t>
  </si>
  <si>
    <t>Depreciation</t>
  </si>
  <si>
    <t>Direct expenses:</t>
  </si>
  <si>
    <t>Depreciation method used for plant &amp; machinery</t>
  </si>
  <si>
    <t>Written Down</t>
  </si>
  <si>
    <t>Payment processing charges as a % of total GMV</t>
  </si>
  <si>
    <t>Depreciation method used for other tangible assets</t>
  </si>
  <si>
    <t>Straight Line</t>
  </si>
  <si>
    <t>Promotional cash back and incentives/MTU users</t>
  </si>
  <si>
    <t>Depreciation rate used in ROU assets</t>
  </si>
  <si>
    <t>for FY26-27</t>
  </si>
  <si>
    <t>Years remaining for current P&amp;M</t>
  </si>
  <si>
    <t>Other expenses as a % of total revenue</t>
  </si>
  <si>
    <t>Years remaining for current other tangible assets</t>
  </si>
  <si>
    <t>Years used for P&amp;M</t>
  </si>
  <si>
    <t>Indirect expenses:</t>
  </si>
  <si>
    <t xml:space="preserve">Residual value assumed for P&amp;M </t>
  </si>
  <si>
    <t>Marketing</t>
  </si>
  <si>
    <t>Employee cost (incl. ESOPs)</t>
  </si>
  <si>
    <t>Software, cloud and data center</t>
  </si>
  <si>
    <t>Other indirect expenses</t>
  </si>
  <si>
    <t>Years used for other tangible assets</t>
  </si>
  <si>
    <t>Capex:</t>
  </si>
  <si>
    <t>Capex on P&amp;M as a % of device subscription revenue:</t>
  </si>
  <si>
    <t>95% of capex has been assumed on P&amp;M</t>
  </si>
  <si>
    <t>Years remaining for current intangible</t>
  </si>
  <si>
    <t>Additions in intangible assets have not been forecasted</t>
  </si>
  <si>
    <t>Interest</t>
  </si>
  <si>
    <t>Other income</t>
  </si>
  <si>
    <t>Interest on lease liabilities</t>
  </si>
  <si>
    <t>Non-operating income is zeroes out</t>
  </si>
  <si>
    <t>% of lease liabilities to be charged interest</t>
  </si>
  <si>
    <t>FV gain on financial assets to stay flat</t>
  </si>
  <si>
    <t>Number of years in which leases are repaid</t>
  </si>
  <si>
    <t>Investment income to grow with corpus</t>
  </si>
  <si>
    <t>For simplification, both leasehold land and leased office premises have been included in lease schedule as one line item</t>
  </si>
  <si>
    <t>Tax</t>
  </si>
  <si>
    <t>Tax rate to be assumed</t>
  </si>
  <si>
    <t>Tax loss expiring in 2026</t>
  </si>
  <si>
    <t>Deferred tax assets not recognized as a % of accounting profit/loss</t>
  </si>
  <si>
    <t xml:space="preserve">Reduction in timing differences </t>
  </si>
  <si>
    <t xml:space="preserve">Revenue Schedule </t>
  </si>
  <si>
    <t>(INR millions)</t>
  </si>
  <si>
    <t>Particulars</t>
  </si>
  <si>
    <t>Projected</t>
  </si>
  <si>
    <t>Payment processing</t>
  </si>
  <si>
    <t>P2M GMV market share</t>
  </si>
  <si>
    <t>India's P2M market size</t>
  </si>
  <si>
    <t xml:space="preserve"> Deviation row </t>
  </si>
  <si>
    <t xml:space="preserve"> Multiplier row </t>
  </si>
  <si>
    <t>Blended takeaway-rate</t>
  </si>
  <si>
    <t>Payment processing revenue</t>
  </si>
  <si>
    <t>Device subscription</t>
  </si>
  <si>
    <t>Number of devices</t>
  </si>
  <si>
    <t>Device subscription revenue</t>
  </si>
  <si>
    <t>UPI</t>
  </si>
  <si>
    <t>Year from which UPI MDR will be implemented</t>
  </si>
  <si>
    <t>Paytm market share in UPI GMV</t>
  </si>
  <si>
    <t>Industry P2M UPI GMV</t>
  </si>
  <si>
    <t>% of total UPI-led consumption</t>
  </si>
  <si>
    <t>% of total UPI-led consumption above INR 2,000</t>
  </si>
  <si>
    <t>Takeaway-rate</t>
  </si>
  <si>
    <t xml:space="preserve">UPI incentive </t>
  </si>
  <si>
    <t>UPI revenue/incentive</t>
  </si>
  <si>
    <t>Distrbution of financial services</t>
  </si>
  <si>
    <t>Merchant-led credit revenue</t>
  </si>
  <si>
    <t>Consumer-led credit revenue</t>
  </si>
  <si>
    <t>Paytm money revenue</t>
  </si>
  <si>
    <t>MTU</t>
  </si>
  <si>
    <t>Total fintech users</t>
  </si>
  <si>
    <t>Paytm's share of total fintech users</t>
  </si>
  <si>
    <t>Marketing services revenue</t>
  </si>
  <si>
    <t xml:space="preserve">Cost Schedule </t>
  </si>
  <si>
    <t>Direct costs</t>
  </si>
  <si>
    <t>Payment processing charges</t>
  </si>
  <si>
    <t>Promotional cash back and incentives</t>
  </si>
  <si>
    <t>Other expenses</t>
  </si>
  <si>
    <t>Total direct costs</t>
  </si>
  <si>
    <t>Indirect costs</t>
  </si>
  <si>
    <t xml:space="preserve">Depreciation &amp; Amortisation Schedule </t>
  </si>
  <si>
    <t>Years remaining P&amp;M:</t>
  </si>
  <si>
    <t>Years remaining other tangible assets:</t>
  </si>
  <si>
    <t>Depreciation years on P&amp;M:</t>
  </si>
  <si>
    <t>Depreciation years on tangible assets:</t>
  </si>
  <si>
    <t>WDV rate</t>
  </si>
  <si>
    <t xml:space="preserve">Opening net P,P&amp;E </t>
  </si>
  <si>
    <t>Opeing P&amp;M</t>
  </si>
  <si>
    <t>CAPEX</t>
  </si>
  <si>
    <t xml:space="preserve">Depreciation </t>
  </si>
  <si>
    <t>Depreciation on opening PPE</t>
  </si>
  <si>
    <t>Closing P&amp;M</t>
  </si>
  <si>
    <t>Opening other tangible assets</t>
  </si>
  <si>
    <t>Closing other tangible assets</t>
  </si>
  <si>
    <t>Total depreciation</t>
  </si>
  <si>
    <t xml:space="preserve">Closing net P,P&amp;E </t>
  </si>
  <si>
    <t>Opening ROU assets</t>
  </si>
  <si>
    <t>Additions</t>
  </si>
  <si>
    <t>Depreciation on ROU assets</t>
  </si>
  <si>
    <t>Closing ROU assets</t>
  </si>
  <si>
    <t>Years remaining intangible assets:</t>
  </si>
  <si>
    <t>Opening intangible assets</t>
  </si>
  <si>
    <t>Amortisation to existing intangible assets</t>
  </si>
  <si>
    <t>Closing intangible assets</t>
  </si>
  <si>
    <t>Total depreciation &amp; amortisation</t>
  </si>
  <si>
    <t xml:space="preserve">Lease Liabilities &amp; Interest Schedule </t>
  </si>
  <si>
    <t>Financing Component</t>
  </si>
  <si>
    <t>Interest on lease liabilties</t>
  </si>
  <si>
    <t>Years in which lease liabilities are paid</t>
  </si>
  <si>
    <t>Opening lease office premises</t>
  </si>
  <si>
    <t>Additions in lease liabilities</t>
  </si>
  <si>
    <t>Repayment of lease liabilities</t>
  </si>
  <si>
    <t>Closing lease liabilities</t>
  </si>
  <si>
    <t>Annual interest expense</t>
  </si>
  <si>
    <t xml:space="preserve">Other Income Schedule </t>
  </si>
  <si>
    <t>Non-operating income</t>
  </si>
  <si>
    <t>FV gain on financial instruments</t>
  </si>
  <si>
    <t>Investment income</t>
  </si>
  <si>
    <t>Yield on investment corpus</t>
  </si>
  <si>
    <t>Opening investment corpus</t>
  </si>
  <si>
    <t>Addition</t>
  </si>
  <si>
    <t>Closing investment corpus</t>
  </si>
  <si>
    <t>Total other income</t>
  </si>
  <si>
    <t xml:space="preserve">Tax Schedule </t>
  </si>
  <si>
    <t>Tax rate</t>
  </si>
  <si>
    <t>Accounting loss/profit</t>
  </si>
  <si>
    <t>Tax losses carry forward utilised</t>
  </si>
  <si>
    <t>Losses on which deferred tax assets not recognized</t>
  </si>
  <si>
    <t>Reduction in EBT for timing differences</t>
  </si>
  <si>
    <t>Government loss/profit</t>
  </si>
  <si>
    <t>Accounting taxes</t>
  </si>
  <si>
    <t>Taxes as appearing on Income Statement</t>
  </si>
  <si>
    <t>Current tax paid</t>
  </si>
  <si>
    <t>Increase (decrease) in deferred income taxes</t>
  </si>
  <si>
    <t>Total income taxes (same as accounting taxes above)</t>
  </si>
  <si>
    <t>DTA carry forward consumption</t>
  </si>
  <si>
    <t>Opening pool</t>
  </si>
  <si>
    <t>Utilised/expired</t>
  </si>
  <si>
    <t>Closing pool</t>
  </si>
  <si>
    <t xml:space="preserve">Working Capital Schedule </t>
  </si>
  <si>
    <t>GMV UPI Paytm</t>
  </si>
  <si>
    <t>INR million</t>
  </si>
  <si>
    <t>Merchant Subscriptions</t>
  </si>
  <si>
    <t>Payment Processing GMV</t>
  </si>
  <si>
    <t>FY2024</t>
  </si>
  <si>
    <t>Net revenue</t>
  </si>
  <si>
    <t>Q3</t>
  </si>
  <si>
    <t>India's GDP per capita</t>
  </si>
  <si>
    <t>China's GDP per capita</t>
  </si>
  <si>
    <t xml:space="preserve">Merchant payment processing </t>
  </si>
  <si>
    <t>P2M digital payments</t>
  </si>
  <si>
    <t>86.8 trillion</t>
  </si>
  <si>
    <t>Subscription revenue merchant</t>
  </si>
  <si>
    <t>Subscription per merchant</t>
  </si>
  <si>
    <t>Consumption</t>
  </si>
  <si>
    <t>182 trillion</t>
  </si>
  <si>
    <t>9-10%</t>
  </si>
  <si>
    <t>Retail market size</t>
  </si>
  <si>
    <t>79 trillion</t>
  </si>
  <si>
    <t>Consumer payment processing and other revenue</t>
  </si>
  <si>
    <t>Number of merchants</t>
  </si>
  <si>
    <t>76.5 million</t>
  </si>
  <si>
    <t>4-6%</t>
  </si>
  <si>
    <t>UPI P2M TPV</t>
  </si>
  <si>
    <t>50.6 trillion</t>
  </si>
  <si>
    <t>India's per capita retail spending</t>
  </si>
  <si>
    <t>China's per capita retail spending</t>
  </si>
  <si>
    <t>Paytm' merchant GMV</t>
  </si>
  <si>
    <t>18.6 trillion</t>
  </si>
  <si>
    <t>Digital transactors</t>
  </si>
  <si>
    <t>% of digital accepting payments merchants</t>
  </si>
  <si>
    <t>UPI GMV Industry</t>
  </si>
  <si>
    <t>Total</t>
  </si>
  <si>
    <t>P2P</t>
  </si>
  <si>
    <t>P2M</t>
  </si>
  <si>
    <t>Month</t>
  </si>
  <si>
    <t>Volume (in mn)</t>
  </si>
  <si>
    <t>Value (in cr)</t>
  </si>
  <si>
    <t>Above 2000 transactions value</t>
  </si>
  <si>
    <t>Industry P2M %</t>
  </si>
  <si>
    <t>Aug'25</t>
  </si>
  <si>
    <t>Jul'25</t>
  </si>
  <si>
    <t>Jun'25</t>
  </si>
  <si>
    <t>May'25</t>
  </si>
  <si>
    <t>Apr'25</t>
  </si>
  <si>
    <t>Mar'25</t>
  </si>
  <si>
    <t>Feb'25</t>
  </si>
  <si>
    <t>Jan'25</t>
  </si>
  <si>
    <t>Average</t>
  </si>
  <si>
    <t>SD</t>
  </si>
  <si>
    <t>Merchant led credit as a % of device subscription</t>
  </si>
  <si>
    <t>growing 1%  year on year with potential of 20%</t>
  </si>
  <si>
    <t>Ticket size Q4 Fy25</t>
  </si>
  <si>
    <t xml:space="preserve">2.1 lakhs  </t>
  </si>
  <si>
    <t>Recent mg commentary stated increase of 15% yoy in ticket sizes</t>
  </si>
  <si>
    <t>MTU Users (in mns)</t>
  </si>
  <si>
    <t>2194 cr</t>
  </si>
  <si>
    <t>Revenue from Marketing services (in mns)</t>
  </si>
  <si>
    <t>Recent mg rcommentary on Paytm Money revenue as a% of total revenue</t>
  </si>
  <si>
    <t>3-5%</t>
  </si>
  <si>
    <t>Revenue per customer</t>
  </si>
  <si>
    <t>501 mn</t>
  </si>
  <si>
    <t>FY25</t>
  </si>
  <si>
    <t>FY24</t>
  </si>
  <si>
    <t>FY23</t>
  </si>
  <si>
    <t>OOR</t>
  </si>
  <si>
    <t>Distn of financial services</t>
  </si>
  <si>
    <t>total revenue</t>
  </si>
  <si>
    <t>Direct costs:</t>
  </si>
  <si>
    <t>Other operating revenue</t>
  </si>
  <si>
    <t>UPI Incentive</t>
  </si>
  <si>
    <t>as a % of GMV</t>
  </si>
  <si>
    <t>Promotional cashback &amp; incentives</t>
  </si>
  <si>
    <t>Distn of fin services</t>
  </si>
  <si>
    <t>PCI as a % of MTU users</t>
  </si>
  <si>
    <t>Other direct expenses</t>
  </si>
  <si>
    <t>Consumer led credit</t>
  </si>
  <si>
    <t>as a % of total revenue</t>
  </si>
  <si>
    <t>Indirect expenses</t>
  </si>
  <si>
    <t>Paytm money</t>
  </si>
  <si>
    <t>EBITDA margin</t>
  </si>
  <si>
    <t>D&amp;A</t>
  </si>
  <si>
    <t>Computers</t>
  </si>
  <si>
    <t>F&amp;F</t>
  </si>
  <si>
    <t>Leasehold Improvements</t>
  </si>
  <si>
    <t>Vehicles</t>
  </si>
  <si>
    <t>Office Equipments</t>
  </si>
  <si>
    <t>P&amp;M</t>
  </si>
  <si>
    <t>Gross Carrying Amount</t>
  </si>
  <si>
    <t>avg devices</t>
  </si>
  <si>
    <t>As at April 1, 2023</t>
  </si>
  <si>
    <t>Disposals</t>
  </si>
  <si>
    <t>As at April 1, 2024</t>
  </si>
  <si>
    <t>As at April 1, 2025</t>
  </si>
  <si>
    <t>Depn.</t>
  </si>
  <si>
    <t>Net value on April 1, 2025</t>
  </si>
  <si>
    <t>Right of use land</t>
  </si>
  <si>
    <t>Right of use office premises</t>
  </si>
  <si>
    <t>Software</t>
  </si>
  <si>
    <t>Internally gen software</t>
  </si>
  <si>
    <t>Amor.</t>
  </si>
  <si>
    <t>Net carrying amount</t>
  </si>
  <si>
    <t>Current</t>
  </si>
  <si>
    <t>Non-current</t>
  </si>
  <si>
    <t>Finance costs</t>
  </si>
  <si>
    <t>Fy24</t>
  </si>
  <si>
    <t>int on liabilities</t>
  </si>
  <si>
    <t>on borrowings</t>
  </si>
  <si>
    <t>on late deposit of statutory dues</t>
  </si>
  <si>
    <t>on others</t>
  </si>
  <si>
    <t>Interest income</t>
  </si>
  <si>
    <t>FV gain on fin instruments</t>
  </si>
  <si>
    <t>Misc</t>
  </si>
  <si>
    <t>Other investments- current</t>
  </si>
  <si>
    <t>investments in debt securities (quoted)</t>
  </si>
  <si>
    <t>Mutual funds quoted</t>
  </si>
  <si>
    <t>other investments-non current</t>
  </si>
  <si>
    <t>unlisted equity</t>
  </si>
  <si>
    <t>unquoted int generating debt</t>
  </si>
  <si>
    <t>Inter corporate loans</t>
  </si>
  <si>
    <t>Non Current</t>
  </si>
  <si>
    <t>to subsidiaries</t>
  </si>
  <si>
    <t>to outside entities</t>
  </si>
  <si>
    <t>MTF</t>
  </si>
  <si>
    <t>Other financial assets</t>
  </si>
  <si>
    <t>Cash and cash equivalents</t>
  </si>
  <si>
    <t>Bank balance</t>
  </si>
  <si>
    <t>on current accounts</t>
  </si>
  <si>
    <t>deposits</t>
  </si>
  <si>
    <t>INCOME STATEMENT</t>
  </si>
  <si>
    <t>Other Income</t>
  </si>
  <si>
    <t>Tax expense</t>
  </si>
  <si>
    <t>Mintority interest</t>
  </si>
  <si>
    <t>Exceptional items</t>
  </si>
  <si>
    <t>Tax loss carry forwards</t>
  </si>
  <si>
    <t>No expiry period</t>
  </si>
  <si>
    <t>Fy25</t>
  </si>
  <si>
    <t>Losses as a % of accounting profit not recongized</t>
  </si>
  <si>
    <t>Income Statement</t>
  </si>
  <si>
    <t>Direct expenses</t>
  </si>
  <si>
    <t>Contribution</t>
  </si>
  <si>
    <t>EBITDA</t>
  </si>
  <si>
    <t>Depreciation &amp; amortisation</t>
  </si>
  <si>
    <t>EBIT</t>
  </si>
  <si>
    <t>Interest expense</t>
  </si>
  <si>
    <t>EBT</t>
  </si>
  <si>
    <t>Adjusted EBT</t>
  </si>
  <si>
    <t>PAT</t>
  </si>
  <si>
    <t>Minority interest</t>
  </si>
  <si>
    <t>Net Profit</t>
  </si>
  <si>
    <t>Margins</t>
  </si>
  <si>
    <t>Contribution margin</t>
  </si>
  <si>
    <t>Net margin</t>
  </si>
  <si>
    <t>Return on equity</t>
  </si>
  <si>
    <t>Balance Sheet</t>
  </si>
  <si>
    <t>BALANCE SHEET</t>
  </si>
  <si>
    <t>ASSETS</t>
  </si>
  <si>
    <t>Non-Current Assets</t>
  </si>
  <si>
    <t>Right of use Assets</t>
  </si>
  <si>
    <t>Goodwill</t>
  </si>
  <si>
    <t>Other Intangible assets</t>
  </si>
  <si>
    <t>Financial investments</t>
  </si>
  <si>
    <t>DTA</t>
  </si>
  <si>
    <t>Tax assets</t>
  </si>
  <si>
    <t>Other non-current assets</t>
  </si>
  <si>
    <t>Current Assets</t>
  </si>
  <si>
    <t>Trade Receivables</t>
  </si>
  <si>
    <t>Bank Balance</t>
  </si>
  <si>
    <t>Loans</t>
  </si>
  <si>
    <t>Other current assets</t>
  </si>
  <si>
    <t>Equity share Capital</t>
  </si>
  <si>
    <t xml:space="preserve">Other Equity </t>
  </si>
  <si>
    <t>Non-controlling interests</t>
  </si>
  <si>
    <t>Liabiltiies</t>
  </si>
  <si>
    <t>Non-Current Liabilities</t>
  </si>
  <si>
    <t>Lease Liabibilitie</t>
  </si>
  <si>
    <t>Contract Liabailtieis</t>
  </si>
  <si>
    <t>Other non-current liabilities</t>
  </si>
  <si>
    <t>Current Liabilities</t>
  </si>
  <si>
    <t>Borrowings</t>
  </si>
  <si>
    <t>Lease Liabitlities</t>
  </si>
  <si>
    <t>Trade Payables</t>
  </si>
  <si>
    <t>Other Financial Liabiltieis</t>
  </si>
  <si>
    <t>Other Current Liabilities</t>
  </si>
  <si>
    <t>CASH FLOW STATEMENT</t>
  </si>
  <si>
    <t>Operating activities</t>
  </si>
  <si>
    <t>Net Income before tax</t>
  </si>
  <si>
    <t>Share based payment expense</t>
  </si>
  <si>
    <t>Other items</t>
  </si>
  <si>
    <t>Operating profit before WC changes</t>
  </si>
  <si>
    <t>Changes in working capital</t>
  </si>
  <si>
    <t>Cash flow from operating activities</t>
  </si>
  <si>
    <t>Investing activities</t>
  </si>
  <si>
    <t>Capital expenditure</t>
  </si>
  <si>
    <t>Sale of P,P &amp; E</t>
  </si>
  <si>
    <t>Investment in marketable securities</t>
  </si>
  <si>
    <t>Interest received</t>
  </si>
  <si>
    <t>Cash flow from investing activities</t>
  </si>
  <si>
    <t>Financing activites</t>
  </si>
  <si>
    <t>Issuance of common stock</t>
  </si>
  <si>
    <t>Other financing activites</t>
  </si>
  <si>
    <t>Cash flow from financing activities</t>
  </si>
  <si>
    <t>Net change in cash</t>
  </si>
  <si>
    <t>Cash and bank balance - opening</t>
  </si>
  <si>
    <t>Cash and bank balance - ending</t>
  </si>
  <si>
    <t>CFO</t>
  </si>
  <si>
    <t>Profit/Loss before tax</t>
  </si>
  <si>
    <t>Depreciation &amp; Amortisation</t>
  </si>
  <si>
    <t>Interest paid</t>
  </si>
  <si>
    <t>Changes in WC</t>
  </si>
  <si>
    <t>Gain on subsdiaries</t>
  </si>
  <si>
    <t>Income tax paid/refund</t>
  </si>
  <si>
    <t>CFI</t>
  </si>
  <si>
    <t>Capex</t>
  </si>
  <si>
    <t>Sale for PPE</t>
  </si>
  <si>
    <t>Net Investment in marketable securities</t>
  </si>
  <si>
    <t>Sale of subsdiaries</t>
  </si>
  <si>
    <t>CFF</t>
  </si>
  <si>
    <t>Issue of shares</t>
  </si>
  <si>
    <t>Buyback of equityshares</t>
  </si>
  <si>
    <t>prinicpal elements</t>
  </si>
  <si>
    <t>Gain on subsdiairies</t>
  </si>
  <si>
    <t>Sale of subsdiairies</t>
  </si>
  <si>
    <t>Buyback of common stock</t>
  </si>
  <si>
    <t xml:space="preserve">Payment of interest </t>
  </si>
  <si>
    <t>Other financing activities</t>
  </si>
  <si>
    <t>Payment of prinicpal portion of lease liabilities</t>
  </si>
  <si>
    <t>Effect of foreign exchange</t>
  </si>
  <si>
    <t>Cash flow adjustment</t>
  </si>
  <si>
    <t>Provisions</t>
  </si>
  <si>
    <t>Contract Liabiltiies</t>
  </si>
  <si>
    <t>PPE</t>
  </si>
  <si>
    <t>Assets</t>
  </si>
  <si>
    <t>Cash and bank balance</t>
  </si>
  <si>
    <t>Short-term investments</t>
  </si>
  <si>
    <t>Trade receiveables</t>
  </si>
  <si>
    <t>Total current assets</t>
  </si>
  <si>
    <t>Net P,P&amp;E</t>
  </si>
  <si>
    <t>ROU assets</t>
  </si>
  <si>
    <t>Other intangibles</t>
  </si>
  <si>
    <t>Long term investments</t>
  </si>
  <si>
    <t>Other long term financial assets</t>
  </si>
  <si>
    <t>Other long term assets</t>
  </si>
  <si>
    <t>Total assets</t>
  </si>
  <si>
    <t>Liablities</t>
  </si>
  <si>
    <t>Other financial liabilities</t>
  </si>
  <si>
    <t>Current lease liabilities</t>
  </si>
  <si>
    <t>Other current liabilities</t>
  </si>
  <si>
    <t>Total current liabilities</t>
  </si>
  <si>
    <t>Non-current lease liabilities</t>
  </si>
  <si>
    <t>Deferred tax liabiltiy</t>
  </si>
  <si>
    <t>Total non-current liabilities</t>
  </si>
  <si>
    <t>Total liabilities</t>
  </si>
  <si>
    <t>Total shareholder equity</t>
  </si>
  <si>
    <t>Contract liabilities</t>
  </si>
  <si>
    <t>Trade paybles</t>
  </si>
  <si>
    <t>Total non-current assets</t>
  </si>
  <si>
    <t>Check</t>
  </si>
  <si>
    <t>Days per year</t>
  </si>
  <si>
    <t>(days)</t>
  </si>
  <si>
    <t>Income statement items</t>
  </si>
  <si>
    <t>Days in</t>
  </si>
  <si>
    <t xml:space="preserve">Trade receivables </t>
  </si>
  <si>
    <t>Account balances</t>
  </si>
  <si>
    <t>Net working capital</t>
  </si>
  <si>
    <t>Change in working capital</t>
  </si>
  <si>
    <t>Trade paybales</t>
  </si>
  <si>
    <t>Working capital</t>
  </si>
  <si>
    <t>Current assets:</t>
  </si>
  <si>
    <t>Current liabilities:</t>
  </si>
  <si>
    <t>Other financial liabilaities</t>
  </si>
  <si>
    <t>Payable to merchants</t>
  </si>
  <si>
    <t>Others</t>
  </si>
  <si>
    <t>Common stock</t>
  </si>
  <si>
    <t>Retained earnings</t>
  </si>
  <si>
    <t>Opening retained earnings</t>
  </si>
  <si>
    <t>Add: net income</t>
  </si>
  <si>
    <t>Closing retained earnings</t>
  </si>
  <si>
    <t>Other comprehensive income</t>
  </si>
  <si>
    <t>Shares value outstanding at the end of the year</t>
  </si>
  <si>
    <t>Securities premium</t>
  </si>
  <si>
    <t>ESOP reserve</t>
  </si>
  <si>
    <t>Capital redemption reserve</t>
  </si>
  <si>
    <t>Other Comprehensive income</t>
  </si>
  <si>
    <t>Other reserves</t>
  </si>
  <si>
    <t>Reserves &amp; Surplus</t>
  </si>
  <si>
    <t>Security premium reserve</t>
  </si>
  <si>
    <t>Other reserve</t>
  </si>
  <si>
    <t>Closing ESOP reserve</t>
  </si>
  <si>
    <t>Opening ESOP reserve</t>
  </si>
  <si>
    <t>Share based payment expense is expected to decline</t>
  </si>
  <si>
    <t>Share based payment expense in 2025</t>
  </si>
  <si>
    <t>% of (free cash flow + available cash) added to investment corpus</t>
  </si>
  <si>
    <t>Short-term investments as a % of total investments in BS</t>
  </si>
  <si>
    <t>Short-term and long-term investments as a % of investment corpus</t>
  </si>
  <si>
    <t>Current lease liabilities as a % of total lease</t>
  </si>
  <si>
    <t>DCF Valuation</t>
  </si>
  <si>
    <t>Date of cash flows</t>
  </si>
  <si>
    <t>NOPAT</t>
  </si>
  <si>
    <t>Free cash flow to firm</t>
  </si>
  <si>
    <t>Discounting rate (%)</t>
  </si>
  <si>
    <t>PV factor - mid year discounting</t>
  </si>
  <si>
    <t>PV factor - year end discounting</t>
  </si>
  <si>
    <t>Present value of FCFF</t>
  </si>
  <si>
    <t>Terminal value</t>
  </si>
  <si>
    <t>Gordon growth</t>
  </si>
  <si>
    <t>Present value of explicit period</t>
  </si>
  <si>
    <t>Sensitivity analysis</t>
  </si>
  <si>
    <t>Present value of terminal period</t>
  </si>
  <si>
    <t>WACC</t>
  </si>
  <si>
    <t>DCF value of firm</t>
  </si>
  <si>
    <t>Terminal growth rate</t>
  </si>
  <si>
    <t>Add: investments</t>
  </si>
  <si>
    <t>Total value of firm</t>
  </si>
  <si>
    <t>Less: gross debt &amp; debt equivalents</t>
  </si>
  <si>
    <t>Add: cash</t>
  </si>
  <si>
    <t>Less: minority interest</t>
  </si>
  <si>
    <t>DCF value of common equity</t>
  </si>
  <si>
    <t>No. of shareholders</t>
  </si>
  <si>
    <t>DCF value per share</t>
  </si>
  <si>
    <t>Perpetuity Growth Method</t>
  </si>
  <si>
    <t>LT growth rate</t>
  </si>
  <si>
    <t xml:space="preserve">Terminal value </t>
  </si>
  <si>
    <t>Present value of terminal value</t>
  </si>
  <si>
    <t>Mid-year discounting factor</t>
  </si>
  <si>
    <t>Year-end discounting factor</t>
  </si>
  <si>
    <t>WACC calculation:</t>
  </si>
  <si>
    <t>Cost of equity capital (%)</t>
  </si>
  <si>
    <t>Adjusted beta</t>
  </si>
  <si>
    <t>Country risk premium (%)</t>
  </si>
  <si>
    <t>As company does't have any debt, WACC has been calculated as cost of equity only</t>
  </si>
  <si>
    <t>Cost of equity- 100% weightage</t>
  </si>
  <si>
    <t>Calculation of beta:</t>
  </si>
  <si>
    <t>Equity beta</t>
  </si>
  <si>
    <t>R sq</t>
  </si>
  <si>
    <t>Paytm</t>
  </si>
  <si>
    <t>PayPal</t>
  </si>
  <si>
    <t>Adyen</t>
  </si>
  <si>
    <t>Segments</t>
  </si>
  <si>
    <t>StoneCo</t>
  </si>
  <si>
    <t>Payment services+ Financial services + Marketing Services</t>
  </si>
  <si>
    <t xml:space="preserve">Payment services + Financial services </t>
  </si>
  <si>
    <t>Payment services + financial services</t>
  </si>
  <si>
    <t>Date</t>
  </si>
  <si>
    <t>Price</t>
  </si>
  <si>
    <t>%</t>
  </si>
  <si>
    <t>GoTo</t>
  </si>
  <si>
    <t>Nifty50</t>
  </si>
  <si>
    <t>NASDAQ</t>
  </si>
  <si>
    <t>JKSE</t>
  </si>
  <si>
    <t>AEX</t>
  </si>
  <si>
    <t>D/E (last 3 years)</t>
  </si>
  <si>
    <t>Tax rate (%)</t>
  </si>
  <si>
    <t>Unlevered beta</t>
  </si>
  <si>
    <t>Relevered beta</t>
  </si>
  <si>
    <t>KOSDAQ</t>
  </si>
  <si>
    <t>KakaoPay</t>
  </si>
  <si>
    <t>Long term India growth rate</t>
  </si>
  <si>
    <t>Marketing &amp; Promotion</t>
  </si>
  <si>
    <t>Employee benefit expense</t>
  </si>
  <si>
    <t>Software, cloud &amp; data</t>
  </si>
  <si>
    <t>OE</t>
  </si>
  <si>
    <t>Employees cost</t>
  </si>
  <si>
    <t>NIfty500</t>
  </si>
  <si>
    <t>Number of shareholders</t>
  </si>
  <si>
    <t>BBB-</t>
  </si>
  <si>
    <t>BB</t>
  </si>
  <si>
    <t>BB-</t>
  </si>
  <si>
    <t>Cleaned out NWC</t>
  </si>
  <si>
    <t>Base Case Scenario</t>
  </si>
  <si>
    <t>Bear Case Scenario</t>
  </si>
  <si>
    <t>Bull Case Scenario</t>
  </si>
  <si>
    <t>TAM specific:</t>
  </si>
  <si>
    <t>Assumed number of devices as a % of total merchants</t>
  </si>
  <si>
    <t>Company specific:</t>
  </si>
  <si>
    <t>Distribution of financial services segment</t>
  </si>
  <si>
    <t>Assumed growth in consumer-led credit</t>
  </si>
  <si>
    <t>Assumed growth in Paytm Money</t>
  </si>
  <si>
    <t>Paytm's implied MTU as a % of number of users of fintech apps in FY26</t>
  </si>
  <si>
    <t>Scenario Analysis</t>
  </si>
  <si>
    <t>Cost assumptions:</t>
  </si>
  <si>
    <t>Revenue assumptions:</t>
  </si>
  <si>
    <t>3 scenarios have been used</t>
  </si>
  <si>
    <t>Cash Flow Statement</t>
  </si>
  <si>
    <t>Block Inc</t>
  </si>
  <si>
    <t>e-finance SAE</t>
  </si>
  <si>
    <t>Fawry</t>
  </si>
  <si>
    <t>Paymentus Holdings, Inc.</t>
  </si>
  <si>
    <t>WACC terminal year</t>
  </si>
  <si>
    <t>wt of debt</t>
  </si>
  <si>
    <t>wt of equity</t>
  </si>
  <si>
    <t xml:space="preserve">Affle 3i Limited </t>
  </si>
  <si>
    <t xml:space="preserve">Brainbees Solutions Limited </t>
  </si>
  <si>
    <t xml:space="preserve">Eternal Limited </t>
  </si>
  <si>
    <t xml:space="preserve">FSN E-Commerce Ventures Limited </t>
  </si>
  <si>
    <t xml:space="preserve">IndiaMART InterMESH Limited </t>
  </si>
  <si>
    <t xml:space="preserve">Le Travenues Technology Limited </t>
  </si>
  <si>
    <t xml:space="preserve">Nazara Technologies Limited </t>
  </si>
  <si>
    <t xml:space="preserve">One MobiKwik Systems Limited </t>
  </si>
  <si>
    <t xml:space="preserve">PB Fintech Limited </t>
  </si>
  <si>
    <t xml:space="preserve">Pine Labs Limited </t>
  </si>
  <si>
    <t xml:space="preserve">Swiggy Limited </t>
  </si>
  <si>
    <t>Trading name</t>
  </si>
  <si>
    <t>Company name</t>
  </si>
  <si>
    <t>AFFLE</t>
  </si>
  <si>
    <t>FIRSTCRY</t>
  </si>
  <si>
    <t>DELHIVERY</t>
  </si>
  <si>
    <t>ETERNAL</t>
  </si>
  <si>
    <t>NYKAA</t>
  </si>
  <si>
    <t>INDIAMART</t>
  </si>
  <si>
    <t>NAUKRI</t>
  </si>
  <si>
    <t>IXIGO</t>
  </si>
  <si>
    <t>NAZARA</t>
  </si>
  <si>
    <t>MOBIKWIK</t>
  </si>
  <si>
    <t>POLICYBZR</t>
  </si>
  <si>
    <t>PINELABS</t>
  </si>
  <si>
    <t>SWIGGY</t>
  </si>
  <si>
    <t>Total revenue [LTM] ($USDmm)</t>
  </si>
  <si>
    <t>Market capitalization [Latest] ($USDmm)</t>
  </si>
  <si>
    <t>Total enterprise value [Latest] ($USDmm)</t>
  </si>
  <si>
    <t>Price/Sales</t>
  </si>
  <si>
    <t>Paytm UPI GMV</t>
  </si>
  <si>
    <t>Quarter 4 FY 26</t>
  </si>
  <si>
    <t xml:space="preserve">Dist. Of fin </t>
  </si>
  <si>
    <t>Marketing service</t>
  </si>
  <si>
    <t>Promotional cashback</t>
  </si>
  <si>
    <t>Total direct expense</t>
  </si>
  <si>
    <t>Employee cost</t>
  </si>
  <si>
    <t>Software cloud</t>
  </si>
  <si>
    <t>Other indirect expense</t>
  </si>
  <si>
    <t>Total indirect</t>
  </si>
  <si>
    <t>Finance cost</t>
  </si>
  <si>
    <t>Income tax expense</t>
  </si>
  <si>
    <t>Exception items</t>
  </si>
  <si>
    <t>Year ended</t>
  </si>
  <si>
    <t>FY35</t>
  </si>
  <si>
    <t>Paytm's share in UPI P2M in FY35</t>
  </si>
  <si>
    <t>% of total UPI-led consumption in FY35</t>
  </si>
  <si>
    <t>Financial services customers growth</t>
  </si>
  <si>
    <t>Loan as a % of total number of merchants</t>
  </si>
  <si>
    <t>Loans as a % of total number of merchants in FY35</t>
  </si>
  <si>
    <t>FY33-FY35</t>
  </si>
  <si>
    <t>Paytm's assumed MTU as a % of number of users of fintech apps in FY35</t>
  </si>
  <si>
    <t>Expected fintech users % as of total internet users in FY35</t>
  </si>
  <si>
    <t>Expected India's internet penetration in FY35</t>
  </si>
  <si>
    <t>Implied number of users of fintech apps in FY35</t>
  </si>
  <si>
    <t>Revenue per MTU in FY35</t>
  </si>
  <si>
    <t>(583+300)</t>
  </si>
  <si>
    <t>Paytm's payment GMV growth per last quarter</t>
  </si>
  <si>
    <t xml:space="preserve">Payment services revenue in FY26 </t>
  </si>
  <si>
    <t>for FY28-35</t>
  </si>
  <si>
    <t>Other expenses as a %</t>
  </si>
  <si>
    <t>`</t>
  </si>
  <si>
    <t>Liquid investments</t>
  </si>
  <si>
    <t>Net changes in WC</t>
  </si>
  <si>
    <t>Net capex</t>
  </si>
  <si>
    <t>Tax paid</t>
  </si>
  <si>
    <t>General:</t>
  </si>
  <si>
    <t>Merchant payment services:</t>
  </si>
  <si>
    <t>Subscription devices:</t>
  </si>
  <si>
    <t>FY26:</t>
  </si>
  <si>
    <t>FY35:</t>
  </si>
  <si>
    <t>Merchant payment services TAM:</t>
  </si>
  <si>
    <t>Subscription devices TAM:</t>
  </si>
  <si>
    <t>UPI services TAM:</t>
  </si>
  <si>
    <t>UPI services:</t>
  </si>
  <si>
    <t>Merchant led credit:</t>
  </si>
  <si>
    <t>Merchant-led credit TAM:</t>
  </si>
  <si>
    <t>Marketing services:</t>
  </si>
  <si>
    <t>Marketing services TAM:</t>
  </si>
  <si>
    <t>Trade receiveables in 2035 as of revenue</t>
  </si>
  <si>
    <t>Other financial asset in 2035 as of revenue</t>
  </si>
  <si>
    <t>Other current asset in 2035 as of revenue</t>
  </si>
  <si>
    <t>Trades payable in 2035 as of indirect costs</t>
  </si>
  <si>
    <t>Contract liabilities in 2035 as of revenue</t>
  </si>
  <si>
    <t>Provisions in 2035 as of employee costs</t>
  </si>
  <si>
    <t>Other financial liabilities in 2035 as of total costs</t>
  </si>
  <si>
    <t>Other current liabilities in 2035 as of total costs</t>
  </si>
  <si>
    <t>Share based payment expense in 2035</t>
  </si>
  <si>
    <t>Depreciation:</t>
  </si>
  <si>
    <t>Amortisation:</t>
  </si>
  <si>
    <t>WACC &amp; beta</t>
  </si>
  <si>
    <t>Relative Valuation</t>
  </si>
  <si>
    <t xml:space="preserve">Equity Shareholders' Schedule </t>
  </si>
  <si>
    <t xml:space="preserve">Zaggle Prepaid Ocean Services Limited </t>
  </si>
  <si>
    <t xml:space="preserve">Delhivery Limited </t>
  </si>
  <si>
    <t xml:space="preserve">Info Edge </t>
  </si>
  <si>
    <t xml:space="preserve">CarTrade Tech Limited </t>
  </si>
  <si>
    <t xml:space="preserve">Honasa Consumer Limited </t>
  </si>
  <si>
    <t xml:space="preserve">TBO Tek Limited </t>
  </si>
  <si>
    <t>CARTRADE</t>
  </si>
  <si>
    <t>HONASA</t>
  </si>
  <si>
    <t>TBOTEK</t>
  </si>
  <si>
    <t>ZAGGLE</t>
  </si>
  <si>
    <t>Net income [LTM] ($USDmm)</t>
  </si>
  <si>
    <t>Analyst estimates of growth</t>
  </si>
  <si>
    <t>Std dev</t>
  </si>
  <si>
    <t>SUMMARY OUTPUT</t>
  </si>
  <si>
    <t>Regression Statistics</t>
  </si>
  <si>
    <t>Multiple R</t>
  </si>
  <si>
    <t>R Square</t>
  </si>
  <si>
    <t>Adjusted R Square</t>
  </si>
  <si>
    <t>Standard Error</t>
  </si>
  <si>
    <t>Observations</t>
  </si>
  <si>
    <t>ANOVA</t>
  </si>
  <si>
    <t>Regression</t>
  </si>
  <si>
    <t>Residual</t>
  </si>
  <si>
    <t>Intercept</t>
  </si>
  <si>
    <t>df</t>
  </si>
  <si>
    <t>SS</t>
  </si>
  <si>
    <t>MS</t>
  </si>
  <si>
    <t>F</t>
  </si>
  <si>
    <t>Significance F</t>
  </si>
  <si>
    <t>Coefficients</t>
  </si>
  <si>
    <t>t Stat</t>
  </si>
  <si>
    <t>P-value</t>
  </si>
  <si>
    <t>Lower 95%</t>
  </si>
  <si>
    <t>Upper 95%</t>
  </si>
  <si>
    <t>Lower 95.0%</t>
  </si>
  <si>
    <t>Upper 95.0%</t>
  </si>
  <si>
    <t>Growth estimates</t>
  </si>
  <si>
    <t>Revenue in FY26 (in INR million)</t>
  </si>
  <si>
    <t>Dividend yield</t>
  </si>
  <si>
    <t>Forward net margin</t>
  </si>
  <si>
    <t>1 yr std dev</t>
  </si>
  <si>
    <t>Risk-free rate</t>
  </si>
  <si>
    <t>India government 10 year bond rate</t>
  </si>
  <si>
    <t>India default spread</t>
  </si>
  <si>
    <t>Developed market premium</t>
  </si>
  <si>
    <t>India's country risk premium</t>
  </si>
  <si>
    <t>Final</t>
  </si>
  <si>
    <t xml:space="preserve">WACC terminal </t>
  </si>
  <si>
    <t>Predicted market cap (in INR million)</t>
  </si>
  <si>
    <t>PROJECTION HORIZON</t>
  </si>
  <si>
    <t>KEY INFLECTION POINTS</t>
  </si>
  <si>
    <t>Net profit</t>
  </si>
  <si>
    <t>EBITDA margin %</t>
  </si>
  <si>
    <t>Net margin %</t>
  </si>
  <si>
    <t>ROE %</t>
  </si>
  <si>
    <t>MARGIN EXPANSION TRAJECTORY</t>
  </si>
  <si>
    <t>VERDICT</t>
  </si>
  <si>
    <t>FINANCIAL PROJECTIONS (₹ in millions)</t>
  </si>
  <si>
    <t>Merchant GMV</t>
  </si>
  <si>
    <t>UPI GMV</t>
  </si>
  <si>
    <t>Subscription merchants including devices</t>
  </si>
  <si>
    <t>Operational KPIs:</t>
  </si>
  <si>
    <t>Financial KPIs:</t>
  </si>
  <si>
    <t>Contribution margin %</t>
  </si>
  <si>
    <t>Net margin in FY30</t>
  </si>
  <si>
    <t>Margins:</t>
  </si>
  <si>
    <t>2027-2035 (9yr)</t>
  </si>
  <si>
    <t>9yr CAGR</t>
  </si>
  <si>
    <t>Developed market risk premium (%)</t>
  </si>
  <si>
    <t>Predicted value per share (in INR)</t>
  </si>
  <si>
    <t>DCF INTRINSIC VALUE</t>
  </si>
  <si>
    <t>Payment services segment growth</t>
  </si>
  <si>
    <t>Financial services segment growth</t>
  </si>
  <si>
    <t>Marketing services segment growth</t>
  </si>
  <si>
    <t>CAGR (9 yr)</t>
  </si>
  <si>
    <t>ESTIMATED</t>
  </si>
  <si>
    <t>Financial services</t>
  </si>
  <si>
    <t>Financial services revenue</t>
  </si>
  <si>
    <t>Payment services revenue</t>
  </si>
  <si>
    <t>&gt;65%</t>
  </si>
  <si>
    <t>&gt;20%</t>
  </si>
  <si>
    <t>&gt;10%</t>
  </si>
  <si>
    <t>PROJECTION HORIZON:</t>
  </si>
  <si>
    <t>VALUATION</t>
  </si>
  <si>
    <t>MARKET PRICE</t>
  </si>
  <si>
    <t>MINIMUM PRICE</t>
  </si>
  <si>
    <t>MAXIMUM PRICE</t>
  </si>
  <si>
    <t>CURRENT TRADING PRICE</t>
  </si>
  <si>
    <t>MC PROJECTED</t>
  </si>
  <si>
    <t>NSE: PAYTM</t>
  </si>
  <si>
    <t>P/S</t>
  </si>
  <si>
    <t>Valuation comps - Paytm vs new age technology companies</t>
  </si>
  <si>
    <t>EV/Revenue</t>
  </si>
  <si>
    <t>EV/EBITDA</t>
  </si>
  <si>
    <t>P/E</t>
  </si>
  <si>
    <t>Comps:</t>
  </si>
  <si>
    <t>Company Name</t>
  </si>
  <si>
    <t>Exchange:Ticker</t>
  </si>
  <si>
    <t>S&amp;P Entity ID</t>
  </si>
  <si>
    <t>Watch Lists</t>
  </si>
  <si>
    <t>Total Enterprise Value [My Setting] [Latest] ($USDmm, Historical rate)</t>
  </si>
  <si>
    <t>Market Capitalization [My Setting] [Latest] ($USDmm, Historical rate)</t>
  </si>
  <si>
    <t>Total Revenue [LTM] ($USDmm, Historical rate)</t>
  </si>
  <si>
    <t>Gross Profit [LTM] ($USDmm, Historical rate)</t>
  </si>
  <si>
    <t>EBITDA [LTM] ($USDmm, Historical rate)</t>
  </si>
  <si>
    <t>Net Income [LTM] ($USDmm, Historical rate)</t>
  </si>
  <si>
    <t>Total Debt [Latest Quarter] ($USDmm, Historical rate)</t>
  </si>
  <si>
    <t>Affle 3i Limited (NSEI:AFFLE)</t>
  </si>
  <si>
    <t>NSEI:AFFLE</t>
  </si>
  <si>
    <t>Brainbees Solutions Limited (NSEI:FIRSTCRY)</t>
  </si>
  <si>
    <t>NSEI:FIRSTCRY</t>
  </si>
  <si>
    <t>Delhivery Limited (NSEI:DELHIVERY)</t>
  </si>
  <si>
    <t>NSEI:DELHIVERY</t>
  </si>
  <si>
    <t>Eternal Limited (NSEI:ETERNAL)</t>
  </si>
  <si>
    <t>NSEI:ETERNAL</t>
  </si>
  <si>
    <t>FSN E-Commerce Ventures Limited (NSEI:NYKAA)</t>
  </si>
  <si>
    <t>NSEI:NYKAA</t>
  </si>
  <si>
    <t>IndiaMART InterMESH Limited (NSEI:INDIAMART)</t>
  </si>
  <si>
    <t>NSEI:INDIAMART</t>
  </si>
  <si>
    <t>Info Edge (India) Limited (NSEI:NAUKRI)</t>
  </si>
  <si>
    <t>NSEI:NAUKRI</t>
  </si>
  <si>
    <t>Le Travenues Technology Limited (NSEI:IXIGO)</t>
  </si>
  <si>
    <t>NSEI:IXIGO</t>
  </si>
  <si>
    <t>Nazara Technologies Limited (NSEI:NAZARA)</t>
  </si>
  <si>
    <t>NSEI:NAZARA</t>
  </si>
  <si>
    <t>One MobiKwik Systems Limited (NSEI:MOBIKWIK)</t>
  </si>
  <si>
    <t>NSEI:MOBIKWIK</t>
  </si>
  <si>
    <t>PB Fintech Limited (NSEI:POLICYBZR)</t>
  </si>
  <si>
    <t>NSEI:POLICYBZR</t>
  </si>
  <si>
    <t>Pine Labs Limited (NSEI:PINELABS)</t>
  </si>
  <si>
    <t>NSEI:PINELABS</t>
  </si>
  <si>
    <t>Swiggy Limited (NSEI:SWIGGY)</t>
  </si>
  <si>
    <t>NSEI:SWIGGY</t>
  </si>
  <si>
    <t>CarTrade Tech Limited (NSEI:CARTRADE)</t>
  </si>
  <si>
    <t>NSEI:CARTRADE</t>
  </si>
  <si>
    <t>Honasa Consumer Limited (NSEI:HONASA)</t>
  </si>
  <si>
    <t>NSEI:HONASA</t>
  </si>
  <si>
    <t>TBO Tek Limited (NSEI:TBOTEK)</t>
  </si>
  <si>
    <t>NSEI:TBOTEK</t>
  </si>
  <si>
    <t>Zaggle Prepaid Ocean Services Limited (NSEI:ZAGGLE)</t>
  </si>
  <si>
    <t>NSEI:ZAGGLE</t>
  </si>
  <si>
    <t>Base case value</t>
  </si>
  <si>
    <t>Mean</t>
  </si>
  <si>
    <t>Median</t>
  </si>
  <si>
    <t>RELATIVE PRICE</t>
  </si>
  <si>
    <t>PREDICTED BY P/S</t>
  </si>
  <si>
    <t>VALUATION ANALYSIS</t>
  </si>
  <si>
    <t>Net Payment revenue</t>
  </si>
  <si>
    <t>GMV</t>
  </si>
  <si>
    <t>Merchant payment processing</t>
  </si>
  <si>
    <t>Take-away rate of Paytm in UPI</t>
  </si>
  <si>
    <t>Bear case value</t>
  </si>
  <si>
    <t>Bull case value</t>
  </si>
  <si>
    <t>INVESTMENT THESIS</t>
  </si>
  <si>
    <t>KEY DRIVERS</t>
  </si>
  <si>
    <t>KEY RISKS</t>
  </si>
  <si>
    <t>① PAYMENTS MONETISATION SCALING</t>
  </si>
  <si>
    <t xml:space="preserve">  •  Higher GMV monetisation through MDR &amp; value-added services</t>
  </si>
  <si>
    <t xml:space="preserve">  •  Device subscriptions and soundbox penetration driving annuity</t>
  </si>
  <si>
    <t xml:space="preserve">  •  Merchant base expansion with improving engagement</t>
  </si>
  <si>
    <t>② FINANCIAL SERVICES INFLECTION</t>
  </si>
  <si>
    <t xml:space="preserve">  •  Loan distribution ramp-up across consumer &amp; merchant segments</t>
  </si>
  <si>
    <t xml:space="preserve">  •  High-margin revenue mix shift from lending &amp; wealth products</t>
  </si>
  <si>
    <t xml:space="preserve">  •  Cross-sell engine strengthening with ecosystem stickiness</t>
  </si>
  <si>
    <t>③ MARGIN EXPANSION STORY</t>
  </si>
  <si>
    <t xml:space="preserve">  •  Operating leverage as scale improves across core businesses</t>
  </si>
  <si>
    <t xml:space="preserve">  •  Lower incentive intensity and better contribution margins</t>
  </si>
  <si>
    <t xml:space="preserve">  •  EBITDA turning structurally positive with strong cash generation</t>
  </si>
  <si>
    <t xml:space="preserve">  ⚠  Regulatory changes (MDR delay / lending curbs)</t>
  </si>
  <si>
    <t xml:space="preserve">  ⚠  Intense competition from PhonePe, Google Pay</t>
  </si>
  <si>
    <t xml:space="preserve">  ⚠  Credit cost cycle &amp; MSME asset quality risk</t>
  </si>
  <si>
    <t xml:space="preserve">  ⚠  Consumer spending slowdown impacting GMV</t>
  </si>
  <si>
    <t xml:space="preserve">  ⚠  Execution risk in new financial initiatives</t>
  </si>
  <si>
    <t xml:space="preserve">  ⚠  Elevated employee costs weighing on margins</t>
  </si>
  <si>
    <t>▶  Macro slowdown compressing GMV growth runway</t>
  </si>
  <si>
    <t xml:space="preserve">  ✔  Rising merchant subscriptions &amp; device penetration</t>
  </si>
  <si>
    <t xml:space="preserve">  ✔  Growth in loan distribution (merchant &amp; consumer)</t>
  </si>
  <si>
    <t xml:space="preserve">  ✔  UPI MDR introduction lifting payment take-rates</t>
  </si>
  <si>
    <t xml:space="preserve">  ✔  Cross-sell across payments &amp; financial ecosystem</t>
  </si>
  <si>
    <t xml:space="preserve">  ✔  Operating leverage kick-in as scale improves</t>
  </si>
  <si>
    <t xml:space="preserve">  ✔  Paytm Money &amp; wealth product revenue scale-up</t>
  </si>
  <si>
    <t>▶  Regulatory clarity enabling financial services growth</t>
  </si>
  <si>
    <t>Dividend Payout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</si>
</sst>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41" formatCode="_ * #,##0_ ;_ * \-#,##0_ ;_ * &quot;-&quot;_ ;_ @_ "/>
    <numFmt numFmtId="43" formatCode="_ * #,##0.00_ ;_ * \-#,##0.00_ ;_ * &quot;-&quot;??_ ;_ @_ "/>
    <numFmt numFmtId="164" formatCode="0.0"/>
    <numFmt numFmtId="165" formatCode="_ * #,##0.00_ ;_ * \-#,##0.00_ ;_ * &quot;-&quot;_ ;_ @_ "/>
    <numFmt numFmtId="166" formatCode="_ * #,##0.00000_ ;_ * \-#,##0.00000_ ;_ * &quot;-&quot;??_ ;_ @_ "/>
    <numFmt numFmtId="167" formatCode="_ * #,##0.000_ ;_ * \-#,##0.000_ ;_ * &quot;-&quot;_ ;_ @_ "/>
    <numFmt numFmtId="168" formatCode="_ * #,##0.0000_ ;_ * \-#,##0.0000_ ;_ * &quot;-&quot;_ ;_ @_ "/>
    <numFmt numFmtId="169" formatCode="0.0000%"/>
    <numFmt numFmtId="170" formatCode="General&quot; mn&quot;"/>
    <numFmt numFmtId="171" formatCode="_ * #,##0.00000_ ;_ * \-#,##0.00000_ ;_ * &quot;-&quot;_ ;_ @_ "/>
    <numFmt numFmtId="172" formatCode="0.000000%"/>
    <numFmt numFmtId="173" formatCode="_ * #,##0.000000_ ;_ * \-#,##0.000000_ ;_ * &quot;-&quot;??_ ;_ @_ "/>
    <numFmt numFmtId="174" formatCode="General&quot;x&quot;"/>
    <numFmt numFmtId="175" formatCode="&quot;FY&quot;General"/>
    <numFmt numFmtId="176" formatCode="0.0%"/>
    <numFmt numFmtId="177" formatCode="0.000%"/>
    <numFmt numFmtId="178" formatCode="_ * #,##0.0_ ;_ * \-#,##0.0_ ;_ * &quot;-&quot;_ ;_ @_ "/>
    <numFmt numFmtId="179" formatCode="0\A"/>
    <numFmt numFmtId="180" formatCode="0.000"/>
    <numFmt numFmtId="181" formatCode="_ * #,##0_ ;_ * \-#,##0_ ;_ * &quot;-&quot;??_ ;_ @_ "/>
    <numFmt numFmtId="182" formatCode="0.0000000%"/>
    <numFmt numFmtId="183" formatCode="_ * #,##0.000000_ ;_ * \-#,##0.000000_ ;_ * &quot;-&quot;_ ;_ @_ "/>
    <numFmt numFmtId="184" formatCode="_ * #,##0.0000000_ ;_ * \-#,##0.0000000_ ;_ * &quot;-&quot;_ ;_ @_ "/>
    <numFmt numFmtId="185" formatCode="_ * #,##0.0000_ ;_ * \-#,##0.0000_ ;_ * &quot;-&quot;??_ ;_ @_ "/>
    <numFmt numFmtId="186" formatCode="_(* #,##0.0_);_(* \(#,##0.0\)_)\ ;_(* 0_)"/>
    <numFmt numFmtId="187" formatCode="_(* #,##0.0#_);_(* \(#,##0.0#\)_)\ ;_(* 0_)"/>
    <numFmt numFmtId="188" formatCode="0.00000%"/>
    <numFmt numFmtId="189" formatCode="_ &quot;₹&quot;\ * #,##0.0_ ;_ &quot;₹&quot;\ * \-#,##0.0_ ;_ &quot;₹&quot;\ * &quot;-&quot;?_ ;_ @_ "/>
    <numFmt numFmtId="190" formatCode="&quot;INR &quot;#,##0.0_ ;\-#,##0.0\ "/>
    <numFmt numFmtId="191" formatCode="&quot;INR &quot;0.0"/>
    <numFmt numFmtId="192" formatCode="_ * #,##0_ ;_ * \-#,##0_ ;_ * \-_ ;_ @_ "/>
  </numFmts>
  <fonts count="61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9"/>
      <color theme="0" tint="-0.14999847407452621"/>
      <name val="Arial"/>
      <family val="2"/>
    </font>
    <font>
      <b/>
      <sz val="8"/>
      <color theme="3" tint="0.749992370372631"/>
      <name val="Arial"/>
      <family val="2"/>
    </font>
    <font>
      <sz val="11"/>
      <color theme="0"/>
      <name val="Arial"/>
      <family val="2"/>
    </font>
    <font>
      <sz val="10"/>
      <color theme="0" tint="-0.14999847407452621"/>
      <name val="Arial"/>
      <family val="2"/>
    </font>
    <font>
      <b/>
      <sz val="16"/>
      <color theme="1"/>
      <name val="Arial"/>
      <family val="2"/>
    </font>
    <font>
      <sz val="9"/>
      <color rgb="FF606F7B"/>
      <name val="Arial"/>
      <family val="2"/>
    </font>
    <font>
      <b/>
      <sz val="11"/>
      <color theme="0"/>
      <name val="Arial"/>
      <family val="2"/>
    </font>
    <font>
      <sz val="10"/>
      <color theme="3" tint="0.749992370372631"/>
      <name val="Arial"/>
      <family val="2"/>
    </font>
    <font>
      <i/>
      <sz val="10"/>
      <color theme="1"/>
      <name val="Arial"/>
      <family val="2"/>
    </font>
    <font>
      <b/>
      <sz val="24"/>
      <color theme="1"/>
      <name val="Arial"/>
      <family val="2"/>
    </font>
    <font>
      <b/>
      <sz val="15"/>
      <color theme="1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</font>
    <font>
      <sz val="10"/>
      <color rgb="FF212529"/>
      <name val="Arial"/>
      <family val="2"/>
    </font>
    <font>
      <i/>
      <sz val="11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color theme="1"/>
      <name val="Aptos Narrow"/>
      <family val="2"/>
      <scheme val="minor"/>
    </font>
    <font>
      <b/>
      <sz val="11"/>
      <color rgb="FF0000FF"/>
      <name val="Arial"/>
      <family val="2"/>
    </font>
    <font>
      <sz val="11"/>
      <color rgb="FF0000FF"/>
      <name val="Arial"/>
      <family val="2"/>
    </font>
    <font>
      <b/>
      <u/>
      <sz val="11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Aptos Narrow"/>
      <family val="2"/>
    </font>
    <font>
      <sz val="11"/>
      <color theme="1"/>
      <name val="Aptos Narrow"/>
      <family val="2"/>
    </font>
    <font>
      <sz val="11"/>
      <color rgb="FF232526"/>
      <name val="Segoe UI"/>
      <family val="2"/>
    </font>
    <font>
      <sz val="11"/>
      <color rgb="FFD91400"/>
      <name val="Segoe UI"/>
      <family val="2"/>
    </font>
    <font>
      <sz val="11"/>
      <color rgb="FF232526"/>
      <name val="Segoe UI"/>
      <family val="2"/>
    </font>
    <font>
      <b/>
      <sz val="11"/>
      <color rgb="FFD91400"/>
      <name val="Segoe UI"/>
      <family val="2"/>
    </font>
    <font>
      <sz val="11"/>
      <color rgb="FF007C32"/>
      <name val="Segoe UI"/>
      <family val="2"/>
    </font>
    <font>
      <b/>
      <sz val="11"/>
      <color rgb="FF007C32"/>
      <name val="Segoe UI"/>
      <family val="2"/>
    </font>
    <font>
      <sz val="8"/>
      <color indexed="8"/>
      <name val="Arial"/>
      <family val="2"/>
    </font>
    <font>
      <sz val="11"/>
      <color indexed="8"/>
      <name val="Arial"/>
      <family val="2"/>
    </font>
    <font>
      <b/>
      <u val="singleAccounting"/>
      <sz val="8"/>
      <color indexed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i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 tint="0.34998626667073579"/>
      <name val="Arial"/>
      <family val="2"/>
    </font>
    <font>
      <sz val="11"/>
      <color theme="1" tint="0.34998626667073579"/>
      <name val="Arial"/>
      <family val="2"/>
    </font>
    <font>
      <b/>
      <sz val="11"/>
      <color theme="1" tint="0.34998626667073579"/>
      <name val="Arial"/>
      <family val="2"/>
    </font>
    <font>
      <sz val="11"/>
      <color rgb="FF00B050"/>
      <name val="Arial"/>
      <family val="2"/>
    </font>
    <font>
      <sz val="11"/>
      <color theme="9" tint="-0.24994659260841701"/>
      <name val="Arial"/>
      <family val="2"/>
    </font>
    <font>
      <sz val="11"/>
      <color theme="0" tint="-0.249977111117893"/>
      <name val="Arial"/>
      <family val="2"/>
    </font>
    <font>
      <sz val="11"/>
      <color theme="1" tint="0.499984740745262"/>
      <name val="Arial"/>
      <family val="2"/>
    </font>
    <font>
      <sz val="10"/>
      <color theme="1" tint="0.499984740745262"/>
      <name val="Arial"/>
      <family val="2"/>
    </font>
    <font>
      <b/>
      <sz val="14"/>
      <color theme="1"/>
      <name val="Arial"/>
      <family val="2"/>
    </font>
    <font>
      <sz val="36"/>
      <color rgb="FF00B050"/>
      <name val="Arial"/>
      <family val="2"/>
    </font>
    <font>
      <sz val="14"/>
      <color theme="0" tint="-4.9989318521683403E-2"/>
      <name val="Arial"/>
      <family val="2"/>
    </font>
    <font>
      <b/>
      <sz val="16"/>
      <color rgb="FFFF0000"/>
      <name val="Arial"/>
      <family val="2"/>
    </font>
    <font>
      <b/>
      <u val="singleAccounting"/>
      <sz val="11"/>
      <color indexed="8"/>
      <name val="Arial"/>
      <family val="2"/>
    </font>
    <font>
      <b/>
      <u/>
      <sz val="12"/>
      <color theme="1"/>
      <name val="Arial"/>
      <family val="2"/>
    </font>
    <font>
      <sz val="12"/>
      <name val="Times New Roman"/>
      <family val="1"/>
    </font>
    <font>
      <b/>
      <sz val="11"/>
      <color rgb="FF002060"/>
      <name val="Arial"/>
      <family val="2"/>
    </font>
    <font>
      <sz val="11"/>
      <color rgb="FF1A2744"/>
      <name val="Arial"/>
      <family val="2"/>
    </font>
    <font>
      <sz val="8.5"/>
      <color rgb="FF7A0000"/>
      <name val="Arial"/>
      <family val="2"/>
    </font>
    <font>
      <sz val="9"/>
      <color rgb="FF7A0000"/>
      <name val="Arial"/>
      <family val="2"/>
    </font>
    <font>
      <sz val="9"/>
      <color rgb="FF1A5C2E"/>
      <name val="Arial"/>
      <family val="2"/>
    </font>
    <font>
      <sz val="9"/>
      <color rgb="FF004D1A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102751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2970"/>
        <bgColor indexed="64"/>
      </patternFill>
    </fill>
    <fill>
      <patternFill patternType="solid">
        <fgColor rgb="FF002D62"/>
        <bgColor indexed="64"/>
      </patternFill>
    </fill>
    <fill>
      <patternFill patternType="solid">
        <fgColor rgb="FFEBF4FF"/>
        <bgColor indexed="64"/>
      </patternFill>
    </fill>
    <fill>
      <patternFill patternType="solid">
        <fgColor rgb="FFD4E5FF"/>
        <bgColor rgb="FFD9D9D9"/>
      </patternFill>
    </fill>
    <fill>
      <patternFill patternType="solid">
        <fgColor rgb="FFEEF3FF"/>
        <bgColor rgb="FFEBF4FF"/>
      </patternFill>
    </fill>
    <fill>
      <patternFill patternType="solid">
        <fgColor rgb="FFFFF0F0"/>
        <bgColor rgb="FFF2F2F2"/>
      </patternFill>
    </fill>
    <fill>
      <patternFill patternType="solid">
        <fgColor rgb="FFE8F5EC"/>
        <bgColor rgb="FFF2F2F2"/>
      </patternFill>
    </fill>
  </fills>
  <borders count="55">
    <border>
      <left/>
      <right/>
      <top/>
      <bottom/>
      <diagonal/>
    </border>
    <border>
      <left/>
      <right/>
      <top/>
      <bottom style="medium">
        <color theme="3" tint="0.749961851863155"/>
      </bottom>
      <diagonal/>
    </border>
    <border>
      <left/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3743705557422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theme="3" tint="0.24994659260841701"/>
      </left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medium">
        <color theme="3" tint="0.24994659260841701"/>
      </top>
      <bottom style="medium">
        <color theme="3" tint="0.24994659260841701"/>
      </bottom>
      <diagonal/>
    </border>
    <border>
      <left/>
      <right style="medium">
        <color theme="3" tint="0.24994659260841701"/>
      </right>
      <top style="medium">
        <color theme="3" tint="0.24994659260841701"/>
      </top>
      <bottom style="medium">
        <color theme="3" tint="0.24994659260841701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rgb="FF102751"/>
      </left>
      <right/>
      <top/>
      <bottom/>
      <diagonal/>
    </border>
    <border>
      <left/>
      <right style="thin">
        <color rgb="FF102751"/>
      </right>
      <top/>
      <bottom/>
      <diagonal/>
    </border>
    <border>
      <left style="thin">
        <color rgb="FF102751"/>
      </left>
      <right/>
      <top/>
      <bottom style="thin">
        <color rgb="FF102751"/>
      </bottom>
      <diagonal/>
    </border>
    <border>
      <left/>
      <right/>
      <top/>
      <bottom style="thin">
        <color rgb="FF102751"/>
      </bottom>
      <diagonal/>
    </border>
    <border>
      <left/>
      <right style="thin">
        <color rgb="FF102751"/>
      </right>
      <top/>
      <bottom style="thin">
        <color rgb="FF102751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/>
      <bottom/>
      <diagonal/>
    </border>
    <border>
      <left style="medium">
        <color rgb="FF0070C0"/>
      </left>
      <right/>
      <top/>
      <bottom/>
      <diagonal/>
    </border>
    <border>
      <left/>
      <right/>
      <top style="thin">
        <color theme="0" tint="-0.14996795556505021"/>
      </top>
      <bottom style="thin">
        <color theme="0" tint="-0.14993743705557422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rgb="FF002A5C"/>
      </right>
      <top style="thin">
        <color rgb="FF002A5C"/>
      </top>
      <bottom/>
      <diagonal/>
    </border>
    <border>
      <left/>
      <right style="thin">
        <color rgb="FF002A5C"/>
      </right>
      <top/>
      <bottom/>
      <diagonal/>
    </border>
    <border>
      <left/>
      <right style="thin">
        <color rgb="FF002A5C"/>
      </right>
      <top/>
      <bottom style="thin">
        <color rgb="FF002A5C"/>
      </bottom>
      <diagonal/>
    </border>
    <border>
      <left style="thin">
        <color rgb="FF002970"/>
      </left>
      <right/>
      <top/>
      <bottom/>
      <diagonal/>
    </border>
    <border>
      <left/>
      <right style="thin">
        <color rgb="FF002970"/>
      </right>
      <top/>
      <bottom/>
      <diagonal/>
    </border>
    <border>
      <left style="thin">
        <color rgb="FF002970"/>
      </left>
      <right/>
      <top/>
      <bottom style="thin">
        <color rgb="FF002970"/>
      </bottom>
      <diagonal/>
    </border>
    <border>
      <left/>
      <right/>
      <top/>
      <bottom style="thin">
        <color rgb="FF002970"/>
      </bottom>
      <diagonal/>
    </border>
    <border>
      <left/>
      <right style="thin">
        <color rgb="FF002970"/>
      </right>
      <top/>
      <bottom style="thin">
        <color rgb="FF002970"/>
      </bottom>
      <diagonal/>
    </border>
    <border>
      <left style="thin">
        <color rgb="FF002970"/>
      </left>
      <right style="thin">
        <color rgb="FF002970"/>
      </right>
      <top/>
      <bottom/>
      <diagonal/>
    </border>
    <border>
      <left style="thin">
        <color rgb="FF002970"/>
      </left>
      <right style="thin">
        <color rgb="FF002970"/>
      </right>
      <top/>
      <bottom style="thin">
        <color rgb="FF002970"/>
      </bottom>
      <diagonal/>
    </border>
  </borders>
  <cellStyleXfs count="6">
    <xf numFmtId="0" fontId="0" fillId="0" borderId="0"/>
    <xf numFmtId="0" fontId="32" fillId="0" borderId="0" applyAlignment="0"/>
    <xf numFmtId="0" fontId="34" fillId="8" borderId="0" applyAlignment="0"/>
    <xf numFmtId="43" fontId="39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</cellStyleXfs>
  <cellXfs count="359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0" borderId="0" xfId="0" applyFont="1"/>
    <xf numFmtId="0" fontId="7" fillId="0" borderId="0" xfId="0" applyFont="1"/>
    <xf numFmtId="0" fontId="1" fillId="0" borderId="1" xfId="0" applyFont="1" applyBorder="1"/>
    <xf numFmtId="0" fontId="8" fillId="0" borderId="0" xfId="0" applyFont="1"/>
    <xf numFmtId="0" fontId="1" fillId="0" borderId="2" xfId="0" applyFont="1" applyBorder="1"/>
    <xf numFmtId="0" fontId="2" fillId="0" borderId="0" xfId="0" applyFont="1"/>
    <xf numFmtId="0" fontId="1" fillId="0" borderId="3" xfId="0" applyFont="1" applyBorder="1"/>
    <xf numFmtId="0" fontId="11" fillId="0" borderId="0" xfId="0" applyFont="1"/>
    <xf numFmtId="0" fontId="1" fillId="4" borderId="0" xfId="0" applyFont="1" applyFill="1"/>
    <xf numFmtId="0" fontId="3" fillId="4" borderId="0" xfId="0" applyFont="1" applyFill="1"/>
    <xf numFmtId="0" fontId="4" fillId="4" borderId="0" xfId="0" applyFont="1" applyFill="1"/>
    <xf numFmtId="0" fontId="5" fillId="4" borderId="0" xfId="0" applyFont="1" applyFill="1"/>
    <xf numFmtId="0" fontId="6" fillId="4" borderId="0" xfId="0" applyFont="1" applyFill="1"/>
    <xf numFmtId="0" fontId="10" fillId="4" borderId="0" xfId="0" applyFont="1" applyFill="1"/>
    <xf numFmtId="0" fontId="9" fillId="4" borderId="0" xfId="0" applyFont="1" applyFill="1"/>
    <xf numFmtId="41" fontId="1" fillId="0" borderId="0" xfId="0" applyNumberFormat="1" applyFont="1"/>
    <xf numFmtId="41" fontId="1" fillId="4" borderId="0" xfId="0" applyNumberFormat="1" applyFont="1" applyFill="1"/>
    <xf numFmtId="41" fontId="1" fillId="5" borderId="0" xfId="0" applyNumberFormat="1" applyFont="1" applyFill="1"/>
    <xf numFmtId="41" fontId="12" fillId="0" borderId="0" xfId="0" applyNumberFormat="1" applyFont="1" applyAlignment="1">
      <alignment horizontal="centerContinuous"/>
    </xf>
    <xf numFmtId="41" fontId="1" fillId="0" borderId="0" xfId="0" applyNumberFormat="1" applyFont="1" applyAlignment="1">
      <alignment horizontal="centerContinuous"/>
    </xf>
    <xf numFmtId="17" fontId="0" fillId="0" borderId="0" xfId="0" applyNumberFormat="1"/>
    <xf numFmtId="41" fontId="0" fillId="0" borderId="0" xfId="0" applyNumberFormat="1"/>
    <xf numFmtId="164" fontId="0" fillId="0" borderId="0" xfId="0" applyNumberFormat="1"/>
    <xf numFmtId="1" fontId="0" fillId="0" borderId="0" xfId="0" applyNumberFormat="1"/>
    <xf numFmtId="165" fontId="1" fillId="0" borderId="0" xfId="0" applyNumberFormat="1" applyFont="1"/>
    <xf numFmtId="43" fontId="0" fillId="0" borderId="0" xfId="0" applyNumberFormat="1"/>
    <xf numFmtId="166" fontId="0" fillId="0" borderId="0" xfId="0" applyNumberFormat="1"/>
    <xf numFmtId="9" fontId="1" fillId="0" borderId="0" xfId="0" applyNumberFormat="1" applyFont="1"/>
    <xf numFmtId="10" fontId="1" fillId="0" borderId="0" xfId="0" applyNumberFormat="1" applyFont="1"/>
    <xf numFmtId="10" fontId="0" fillId="0" borderId="0" xfId="0" applyNumberFormat="1"/>
    <xf numFmtId="9" fontId="0" fillId="0" borderId="0" xfId="0" applyNumberFormat="1"/>
    <xf numFmtId="41" fontId="15" fillId="0" borderId="0" xfId="0" applyNumberFormat="1" applyFont="1"/>
    <xf numFmtId="167" fontId="1" fillId="0" borderId="0" xfId="0" applyNumberFormat="1" applyFont="1"/>
    <xf numFmtId="168" fontId="1" fillId="0" borderId="0" xfId="0" applyNumberFormat="1" applyFont="1"/>
    <xf numFmtId="17" fontId="16" fillId="6" borderId="0" xfId="0" applyNumberFormat="1" applyFont="1" applyFill="1" applyAlignment="1">
      <alignment horizontal="center" vertical="center" wrapText="1"/>
    </xf>
    <xf numFmtId="4" fontId="16" fillId="6" borderId="0" xfId="0" applyNumberFormat="1" applyFont="1" applyFill="1" applyAlignment="1">
      <alignment horizontal="center" vertical="center" wrapText="1"/>
    </xf>
    <xf numFmtId="0" fontId="16" fillId="6" borderId="0" xfId="0" applyFont="1" applyFill="1" applyAlignment="1">
      <alignment horizontal="center" vertical="center" wrapText="1"/>
    </xf>
    <xf numFmtId="4" fontId="16" fillId="0" borderId="0" xfId="0" applyNumberFormat="1" applyFont="1"/>
    <xf numFmtId="169" fontId="1" fillId="0" borderId="0" xfId="0" applyNumberFormat="1" applyFont="1"/>
    <xf numFmtId="169" fontId="0" fillId="0" borderId="0" xfId="0" applyNumberFormat="1"/>
    <xf numFmtId="4" fontId="0" fillId="0" borderId="0" xfId="0" applyNumberFormat="1"/>
    <xf numFmtId="0" fontId="13" fillId="0" borderId="0" xfId="0" applyFont="1" applyAlignment="1">
      <alignment horizontal="centerContinuous"/>
    </xf>
    <xf numFmtId="0" fontId="1" fillId="0" borderId="0" xfId="0" applyFont="1" applyAlignment="1">
      <alignment horizontal="centerContinuous"/>
    </xf>
    <xf numFmtId="0" fontId="17" fillId="0" borderId="4" xfId="0" applyFont="1" applyBorder="1"/>
    <xf numFmtId="0" fontId="1" fillId="0" borderId="4" xfId="0" applyFont="1" applyBorder="1"/>
    <xf numFmtId="0" fontId="1" fillId="0" borderId="5" xfId="0" applyFont="1" applyBorder="1"/>
    <xf numFmtId="15" fontId="1" fillId="0" borderId="0" xfId="0" applyNumberFormat="1" applyFont="1"/>
    <xf numFmtId="3" fontId="0" fillId="0" borderId="0" xfId="0" applyNumberFormat="1"/>
    <xf numFmtId="14" fontId="17" fillId="0" borderId="6" xfId="0" applyNumberFormat="1" applyFont="1" applyBorder="1" applyAlignment="1">
      <alignment horizontal="centerContinuous"/>
    </xf>
    <xf numFmtId="14" fontId="1" fillId="0" borderId="6" xfId="0" applyNumberFormat="1" applyFont="1" applyBorder="1" applyAlignment="1">
      <alignment horizontal="centerContinuous"/>
    </xf>
    <xf numFmtId="41" fontId="17" fillId="0" borderId="0" xfId="0" applyNumberFormat="1" applyFont="1"/>
    <xf numFmtId="165" fontId="15" fillId="0" borderId="0" xfId="0" applyNumberFormat="1" applyFont="1"/>
    <xf numFmtId="4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41" fontId="15" fillId="0" borderId="0" xfId="0" applyNumberFormat="1" applyFont="1" applyAlignment="1">
      <alignment horizontal="center"/>
    </xf>
    <xf numFmtId="170" fontId="1" fillId="0" borderId="0" xfId="0" applyNumberFormat="1" applyFont="1" applyAlignment="1">
      <alignment horizontal="center"/>
    </xf>
    <xf numFmtId="171" fontId="1" fillId="0" borderId="0" xfId="0" applyNumberFormat="1" applyFont="1"/>
    <xf numFmtId="172" fontId="0" fillId="0" borderId="0" xfId="0" applyNumberFormat="1"/>
    <xf numFmtId="173" fontId="0" fillId="0" borderId="0" xfId="0" applyNumberFormat="1"/>
    <xf numFmtId="174" fontId="1" fillId="0" borderId="0" xfId="0" applyNumberFormat="1" applyFont="1"/>
    <xf numFmtId="168" fontId="15" fillId="0" borderId="0" xfId="0" applyNumberFormat="1" applyFont="1"/>
    <xf numFmtId="41" fontId="15" fillId="0" borderId="7" xfId="0" applyNumberFormat="1" applyFont="1" applyBorder="1"/>
    <xf numFmtId="0" fontId="1" fillId="0" borderId="8" xfId="0" applyFont="1" applyBorder="1"/>
    <xf numFmtId="0" fontId="1" fillId="0" borderId="7" xfId="0" applyFont="1" applyBorder="1"/>
    <xf numFmtId="1" fontId="1" fillId="0" borderId="9" xfId="0" applyNumberFormat="1" applyFont="1" applyBorder="1"/>
    <xf numFmtId="1" fontId="1" fillId="0" borderId="0" xfId="0" applyNumberFormat="1" applyFont="1"/>
    <xf numFmtId="0" fontId="15" fillId="0" borderId="0" xfId="0" applyFont="1"/>
    <xf numFmtId="0" fontId="18" fillId="0" borderId="0" xfId="0" applyFont="1" applyAlignment="1">
      <alignment horizontal="center"/>
    </xf>
    <xf numFmtId="41" fontId="15" fillId="0" borderId="14" xfId="0" applyNumberFormat="1" applyFont="1" applyBorder="1"/>
    <xf numFmtId="1" fontId="15" fillId="0" borderId="0" xfId="0" applyNumberFormat="1" applyFont="1"/>
    <xf numFmtId="175" fontId="1" fillId="0" borderId="4" xfId="0" applyNumberFormat="1" applyFont="1" applyBorder="1" applyAlignment="1">
      <alignment horizontal="right"/>
    </xf>
    <xf numFmtId="41" fontId="5" fillId="0" borderId="0" xfId="0" applyNumberFormat="1" applyFont="1"/>
    <xf numFmtId="41" fontId="1" fillId="0" borderId="12" xfId="0" applyNumberFormat="1" applyFont="1" applyBorder="1" applyAlignment="1">
      <alignment horizontal="center" vertical="center"/>
    </xf>
    <xf numFmtId="41" fontId="1" fillId="0" borderId="13" xfId="0" applyNumberFormat="1" applyFont="1" applyBorder="1" applyAlignment="1">
      <alignment horizontal="center" vertical="center"/>
    </xf>
    <xf numFmtId="41" fontId="1" fillId="0" borderId="15" xfId="0" applyNumberFormat="1" applyFont="1" applyBorder="1" applyAlignment="1">
      <alignment horizontal="center" vertical="center"/>
    </xf>
    <xf numFmtId="0" fontId="1" fillId="0" borderId="16" xfId="0" applyFont="1" applyBorder="1"/>
    <xf numFmtId="2" fontId="1" fillId="0" borderId="9" xfId="0" applyNumberFormat="1" applyFont="1" applyBorder="1"/>
    <xf numFmtId="2" fontId="1" fillId="0" borderId="17" xfId="0" applyNumberFormat="1" applyFont="1" applyBorder="1"/>
    <xf numFmtId="41" fontId="1" fillId="0" borderId="6" xfId="0" applyNumberFormat="1" applyFont="1" applyBorder="1"/>
    <xf numFmtId="0" fontId="1" fillId="0" borderId="10" xfId="0" applyFont="1" applyBorder="1"/>
    <xf numFmtId="41" fontId="1" fillId="0" borderId="7" xfId="0" applyNumberFormat="1" applyFont="1" applyBorder="1"/>
    <xf numFmtId="175" fontId="0" fillId="0" borderId="0" xfId="0" applyNumberFormat="1"/>
    <xf numFmtId="41" fontId="1" fillId="0" borderId="0" xfId="0" applyNumberFormat="1" applyFont="1" applyAlignment="1">
      <alignment horizontal="center" vertical="center"/>
    </xf>
    <xf numFmtId="10" fontId="1" fillId="0" borderId="11" xfId="0" applyNumberFormat="1" applyFont="1" applyBorder="1"/>
    <xf numFmtId="176" fontId="1" fillId="0" borderId="9" xfId="0" applyNumberFormat="1" applyFont="1" applyBorder="1"/>
    <xf numFmtId="165" fontId="1" fillId="0" borderId="11" xfId="0" applyNumberFormat="1" applyFont="1" applyBorder="1"/>
    <xf numFmtId="0" fontId="1" fillId="0" borderId="6" xfId="0" applyFont="1" applyBorder="1"/>
    <xf numFmtId="41" fontId="1" fillId="0" borderId="6" xfId="0" applyNumberFormat="1" applyFont="1" applyBorder="1" applyAlignment="1">
      <alignment horizontal="center"/>
    </xf>
    <xf numFmtId="41" fontId="15" fillId="0" borderId="6" xfId="0" applyNumberFormat="1" applyFont="1" applyBorder="1"/>
    <xf numFmtId="41" fontId="15" fillId="0" borderId="6" xfId="0" applyNumberFormat="1" applyFont="1" applyBorder="1" applyAlignment="1">
      <alignment horizontal="center"/>
    </xf>
    <xf numFmtId="0" fontId="1" fillId="0" borderId="18" xfId="0" applyFont="1" applyBorder="1"/>
    <xf numFmtId="0" fontId="1" fillId="0" borderId="19" xfId="0" applyFont="1" applyBorder="1"/>
    <xf numFmtId="0" fontId="15" fillId="0" borderId="10" xfId="0" applyFont="1" applyBorder="1"/>
    <xf numFmtId="0" fontId="15" fillId="0" borderId="6" xfId="0" applyFont="1" applyBorder="1"/>
    <xf numFmtId="41" fontId="15" fillId="0" borderId="19" xfId="0" applyNumberFormat="1" applyFont="1" applyBorder="1"/>
    <xf numFmtId="0" fontId="15" fillId="0" borderId="8" xfId="0" applyFont="1" applyBorder="1"/>
    <xf numFmtId="41" fontId="20" fillId="0" borderId="0" xfId="0" applyNumberFormat="1" applyFont="1"/>
    <xf numFmtId="41" fontId="21" fillId="0" borderId="0" xfId="0" applyNumberFormat="1" applyFont="1"/>
    <xf numFmtId="0" fontId="1" fillId="0" borderId="0" xfId="0" applyFont="1" applyAlignment="1">
      <alignment horizontal="left"/>
    </xf>
    <xf numFmtId="10" fontId="1" fillId="0" borderId="20" xfId="0" applyNumberFormat="1" applyFont="1" applyBorder="1"/>
    <xf numFmtId="0" fontId="19" fillId="0" borderId="0" xfId="0" applyFont="1"/>
    <xf numFmtId="177" fontId="0" fillId="0" borderId="0" xfId="0" applyNumberFormat="1"/>
    <xf numFmtId="0" fontId="15" fillId="0" borderId="16" xfId="0" applyFont="1" applyBorder="1"/>
    <xf numFmtId="0" fontId="14" fillId="4" borderId="0" xfId="0" applyFont="1" applyFill="1"/>
    <xf numFmtId="0" fontId="1" fillId="5" borderId="0" xfId="0" applyFont="1" applyFill="1"/>
    <xf numFmtId="0" fontId="17" fillId="0" borderId="0" xfId="0" applyFont="1"/>
    <xf numFmtId="0" fontId="1" fillId="0" borderId="5" xfId="0" applyFont="1" applyBorder="1" applyAlignment="1">
      <alignment horizontal="left"/>
    </xf>
    <xf numFmtId="41" fontId="1" fillId="0" borderId="5" xfId="0" applyNumberFormat="1" applyFont="1" applyBorder="1"/>
    <xf numFmtId="0" fontId="1" fillId="0" borderId="7" xfId="0" applyFont="1" applyBorder="1" applyAlignment="1">
      <alignment horizontal="left"/>
    </xf>
    <xf numFmtId="41" fontId="1" fillId="0" borderId="19" xfId="0" applyNumberFormat="1" applyFont="1" applyBorder="1"/>
    <xf numFmtId="10" fontId="1" fillId="0" borderId="20" xfId="0" applyNumberFormat="1" applyFont="1" applyBorder="1" applyAlignment="1">
      <alignment horizontal="center"/>
    </xf>
    <xf numFmtId="41" fontId="1" fillId="0" borderId="9" xfId="0" applyNumberFormat="1" applyFont="1" applyBorder="1"/>
    <xf numFmtId="41" fontId="1" fillId="0" borderId="17" xfId="0" applyNumberFormat="1" applyFont="1" applyBorder="1"/>
    <xf numFmtId="0" fontId="1" fillId="0" borderId="6" xfId="0" applyFont="1" applyBorder="1" applyAlignment="1">
      <alignment horizontal="left"/>
    </xf>
    <xf numFmtId="41" fontId="1" fillId="0" borderId="11" xfId="0" applyNumberFormat="1" applyFont="1" applyBorder="1"/>
    <xf numFmtId="10" fontId="1" fillId="0" borderId="17" xfId="0" applyNumberFormat="1" applyFont="1" applyBorder="1"/>
    <xf numFmtId="10" fontId="1" fillId="0" borderId="6" xfId="0" applyNumberFormat="1" applyFont="1" applyBorder="1"/>
    <xf numFmtId="41" fontId="1" fillId="0" borderId="20" xfId="0" applyNumberFormat="1" applyFont="1" applyBorder="1"/>
    <xf numFmtId="0" fontId="1" fillId="0" borderId="4" xfId="0" applyFont="1" applyBorder="1" applyAlignment="1">
      <alignment horizontal="left"/>
    </xf>
    <xf numFmtId="179" fontId="23" fillId="0" borderId="0" xfId="0" quotePrefix="1" applyNumberFormat="1" applyFont="1" applyAlignment="1">
      <alignment horizontal="right"/>
    </xf>
    <xf numFmtId="176" fontId="1" fillId="0" borderId="0" xfId="0" applyNumberFormat="1" applyFont="1"/>
    <xf numFmtId="41" fontId="15" fillId="0" borderId="0" xfId="0" applyNumberFormat="1" applyFont="1" applyAlignment="1">
      <alignment horizontal="right"/>
    </xf>
    <xf numFmtId="41" fontId="1" fillId="0" borderId="0" xfId="0" applyNumberFormat="1" applyFont="1" applyAlignment="1">
      <alignment horizontal="right"/>
    </xf>
    <xf numFmtId="41" fontId="5" fillId="7" borderId="0" xfId="0" applyNumberFormat="1" applyFont="1" applyFill="1"/>
    <xf numFmtId="176" fontId="15" fillId="0" borderId="0" xfId="0" applyNumberFormat="1" applyFont="1"/>
    <xf numFmtId="0" fontId="15" fillId="0" borderId="18" xfId="0" applyFont="1" applyBorder="1"/>
    <xf numFmtId="0" fontId="15" fillId="0" borderId="19" xfId="0" applyFont="1" applyBorder="1"/>
    <xf numFmtId="0" fontId="15" fillId="0" borderId="19" xfId="0" applyFont="1" applyBorder="1" applyAlignment="1">
      <alignment horizontal="centerContinuous"/>
    </xf>
    <xf numFmtId="164" fontId="1" fillId="0" borderId="7" xfId="0" applyNumberFormat="1" applyFont="1" applyBorder="1"/>
    <xf numFmtId="164" fontId="1" fillId="0" borderId="6" xfId="0" applyNumberFormat="1" applyFont="1" applyBorder="1"/>
    <xf numFmtId="0" fontId="15" fillId="0" borderId="20" xfId="0" applyFont="1" applyBorder="1"/>
    <xf numFmtId="0" fontId="15" fillId="0" borderId="0" xfId="0" applyFont="1" applyAlignment="1">
      <alignment horizontal="centerContinuous"/>
    </xf>
    <xf numFmtId="176" fontId="17" fillId="0" borderId="6" xfId="0" applyNumberFormat="1" applyFont="1" applyBorder="1"/>
    <xf numFmtId="0" fontId="24" fillId="0" borderId="25" xfId="0" applyFont="1" applyBorder="1"/>
    <xf numFmtId="0" fontId="25" fillId="0" borderId="0" xfId="0" applyFont="1"/>
    <xf numFmtId="43" fontId="25" fillId="0" borderId="0" xfId="0" applyNumberFormat="1" applyFont="1"/>
    <xf numFmtId="2" fontId="25" fillId="0" borderId="0" xfId="0" applyNumberFormat="1" applyFont="1"/>
    <xf numFmtId="15" fontId="15" fillId="0" borderId="0" xfId="0" applyNumberFormat="1" applyFont="1"/>
    <xf numFmtId="0" fontId="24" fillId="0" borderId="0" xfId="0" applyFont="1"/>
    <xf numFmtId="0" fontId="24" fillId="0" borderId="26" xfId="0" applyFont="1" applyBorder="1"/>
    <xf numFmtId="0" fontId="24" fillId="0" borderId="27" xfId="0" applyFont="1" applyBorder="1"/>
    <xf numFmtId="0" fontId="24" fillId="0" borderId="28" xfId="0" applyFont="1" applyBorder="1" applyAlignment="1">
      <alignment horizontal="center"/>
    </xf>
    <xf numFmtId="0" fontId="0" fillId="0" borderId="0" xfId="0" applyAlignment="1">
      <alignment horizontal="center"/>
    </xf>
    <xf numFmtId="0" fontId="26" fillId="6" borderId="0" xfId="0" applyFont="1" applyFill="1" applyAlignment="1">
      <alignment horizontal="left" vertical="center" wrapText="1"/>
    </xf>
    <xf numFmtId="0" fontId="26" fillId="6" borderId="0" xfId="0" applyFont="1" applyFill="1" applyAlignment="1">
      <alignment horizontal="right" vertical="center" wrapText="1"/>
    </xf>
    <xf numFmtId="4" fontId="27" fillId="6" borderId="0" xfId="0" applyNumberFormat="1" applyFont="1" applyFill="1" applyAlignment="1">
      <alignment horizontal="right" vertical="center" wrapText="1" readingOrder="1"/>
    </xf>
    <xf numFmtId="4" fontId="28" fillId="6" borderId="0" xfId="0" applyNumberFormat="1" applyFont="1" applyFill="1" applyAlignment="1">
      <alignment horizontal="right" vertical="center" wrapText="1"/>
    </xf>
    <xf numFmtId="0" fontId="28" fillId="6" borderId="0" xfId="0" applyFont="1" applyFill="1" applyAlignment="1">
      <alignment horizontal="right" vertical="center" wrapText="1"/>
    </xf>
    <xf numFmtId="10" fontId="29" fillId="6" borderId="0" xfId="0" applyNumberFormat="1" applyFont="1" applyFill="1" applyAlignment="1">
      <alignment horizontal="right" vertical="center" readingOrder="1"/>
    </xf>
    <xf numFmtId="4" fontId="30" fillId="6" borderId="0" xfId="0" applyNumberFormat="1" applyFont="1" applyFill="1" applyAlignment="1">
      <alignment horizontal="right" vertical="center" wrapText="1" readingOrder="1"/>
    </xf>
    <xf numFmtId="10" fontId="31" fillId="6" borderId="0" xfId="0" applyNumberFormat="1" applyFont="1" applyFill="1" applyAlignment="1">
      <alignment horizontal="right" vertical="center" readingOrder="1"/>
    </xf>
    <xf numFmtId="14" fontId="0" fillId="0" borderId="0" xfId="0" applyNumberFormat="1"/>
    <xf numFmtId="180" fontId="0" fillId="0" borderId="0" xfId="0" applyNumberFormat="1"/>
    <xf numFmtId="0" fontId="24" fillId="0" borderId="29" xfId="0" applyFont="1" applyBorder="1"/>
    <xf numFmtId="2" fontId="0" fillId="0" borderId="0" xfId="0" applyNumberFormat="1"/>
    <xf numFmtId="0" fontId="26" fillId="6" borderId="0" xfId="0" applyFont="1" applyFill="1" applyAlignment="1">
      <alignment horizontal="left" vertical="center"/>
    </xf>
    <xf numFmtId="181" fontId="1" fillId="0" borderId="0" xfId="0" applyNumberFormat="1" applyFont="1"/>
    <xf numFmtId="181" fontId="1" fillId="0" borderId="6" xfId="0" applyNumberFormat="1" applyFont="1" applyBorder="1"/>
    <xf numFmtId="10" fontId="17" fillId="0" borderId="0" xfId="0" applyNumberFormat="1" applyFont="1"/>
    <xf numFmtId="1" fontId="1" fillId="0" borderId="7" xfId="0" applyNumberFormat="1" applyFont="1" applyBorder="1" applyAlignment="1">
      <alignment horizontal="center"/>
    </xf>
    <xf numFmtId="1" fontId="1" fillId="0" borderId="0" xfId="0" applyNumberFormat="1" applyFont="1" applyAlignment="1">
      <alignment horizontal="center"/>
    </xf>
    <xf numFmtId="1" fontId="15" fillId="0" borderId="0" xfId="0" applyNumberFormat="1" applyFont="1" applyAlignment="1">
      <alignment horizontal="center"/>
    </xf>
    <xf numFmtId="41" fontId="1" fillId="0" borderId="12" xfId="0" applyNumberFormat="1" applyFont="1" applyBorder="1" applyAlignment="1">
      <alignment horizontal="center"/>
    </xf>
    <xf numFmtId="41" fontId="1" fillId="0" borderId="13" xfId="0" applyNumberFormat="1" applyFont="1" applyBorder="1" applyAlignment="1">
      <alignment horizontal="center"/>
    </xf>
    <xf numFmtId="41" fontId="1" fillId="0" borderId="15" xfId="0" applyNumberFormat="1" applyFont="1" applyBorder="1" applyAlignment="1">
      <alignment horizontal="center"/>
    </xf>
    <xf numFmtId="41" fontId="1" fillId="0" borderId="7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176" fontId="1" fillId="0" borderId="19" xfId="0" applyNumberFormat="1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41" fontId="1" fillId="4" borderId="0" xfId="0" applyNumberFormat="1" applyFont="1" applyFill="1" applyAlignment="1">
      <alignment horizontal="center"/>
    </xf>
    <xf numFmtId="41" fontId="1" fillId="5" borderId="0" xfId="0" applyNumberFormat="1" applyFont="1" applyFill="1" applyAlignment="1">
      <alignment horizontal="center"/>
    </xf>
    <xf numFmtId="0" fontId="24" fillId="0" borderId="0" xfId="0" applyFont="1" applyAlignment="1">
      <alignment horizontal="center"/>
    </xf>
    <xf numFmtId="0" fontId="19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182" fontId="0" fillId="0" borderId="0" xfId="0" applyNumberFormat="1"/>
    <xf numFmtId="183" fontId="1" fillId="0" borderId="0" xfId="0" applyNumberFormat="1" applyFont="1"/>
    <xf numFmtId="184" fontId="1" fillId="0" borderId="0" xfId="0" applyNumberFormat="1" applyFont="1"/>
    <xf numFmtId="10" fontId="15" fillId="0" borderId="0" xfId="0" applyNumberFormat="1" applyFont="1"/>
    <xf numFmtId="0" fontId="22" fillId="0" borderId="0" xfId="0" applyFont="1"/>
    <xf numFmtId="167" fontId="15" fillId="0" borderId="0" xfId="0" applyNumberFormat="1" applyFont="1"/>
    <xf numFmtId="185" fontId="0" fillId="0" borderId="0" xfId="0" applyNumberFormat="1"/>
    <xf numFmtId="43" fontId="1" fillId="0" borderId="0" xfId="0" applyNumberFormat="1" applyFont="1"/>
    <xf numFmtId="186" fontId="36" fillId="0" borderId="0" xfId="0" applyNumberFormat="1" applyFont="1" applyAlignment="1">
      <alignment horizontal="right" vertical="top" wrapText="1"/>
    </xf>
    <xf numFmtId="187" fontId="36" fillId="0" borderId="0" xfId="0" applyNumberFormat="1" applyFont="1" applyAlignment="1">
      <alignment horizontal="right" vertical="top" wrapText="1"/>
    </xf>
    <xf numFmtId="178" fontId="1" fillId="0" borderId="0" xfId="0" applyNumberFormat="1" applyFont="1"/>
    <xf numFmtId="175" fontId="1" fillId="0" borderId="0" xfId="0" applyNumberFormat="1" applyFont="1" applyAlignment="1">
      <alignment horizontal="right"/>
    </xf>
    <xf numFmtId="14" fontId="17" fillId="0" borderId="0" xfId="0" applyNumberFormat="1" applyFont="1" applyAlignment="1">
      <alignment horizontal="centerContinuous"/>
    </xf>
    <xf numFmtId="14" fontId="1" fillId="0" borderId="0" xfId="0" applyNumberFormat="1" applyFont="1" applyAlignment="1">
      <alignment horizontal="centerContinuous"/>
    </xf>
    <xf numFmtId="175" fontId="1" fillId="0" borderId="30" xfId="0" applyNumberFormat="1" applyFont="1" applyBorder="1" applyAlignment="1">
      <alignment horizontal="right"/>
    </xf>
    <xf numFmtId="177" fontId="1" fillId="0" borderId="0" xfId="0" applyNumberFormat="1" applyFont="1"/>
    <xf numFmtId="188" fontId="1" fillId="0" borderId="0" xfId="0" applyNumberFormat="1" applyFont="1"/>
    <xf numFmtId="41" fontId="1" fillId="0" borderId="6" xfId="0" applyNumberFormat="1" applyFont="1" applyBorder="1" applyAlignment="1">
      <alignment horizontal="centerContinuous"/>
    </xf>
    <xf numFmtId="165" fontId="15" fillId="0" borderId="6" xfId="0" applyNumberFormat="1" applyFont="1" applyBorder="1"/>
    <xf numFmtId="41" fontId="15" fillId="0" borderId="20" xfId="0" applyNumberFormat="1" applyFont="1" applyBorder="1"/>
    <xf numFmtId="0" fontId="1" fillId="5" borderId="0" xfId="0" applyFont="1" applyFill="1" applyAlignment="1">
      <alignment horizontal="centerContinuous"/>
    </xf>
    <xf numFmtId="41" fontId="1" fillId="5" borderId="0" xfId="0" applyNumberFormat="1" applyFont="1" applyFill="1" applyAlignment="1">
      <alignment horizontal="centerContinuous"/>
    </xf>
    <xf numFmtId="0" fontId="1" fillId="0" borderId="0" xfId="0" applyFont="1" applyAlignment="1">
      <alignment vertical="center"/>
    </xf>
    <xf numFmtId="0" fontId="12" fillId="0" borderId="0" xfId="0" applyFont="1" applyAlignment="1">
      <alignment horizontal="centerContinuous" vertical="center"/>
    </xf>
    <xf numFmtId="0" fontId="13" fillId="0" borderId="0" xfId="0" applyFont="1" applyAlignment="1">
      <alignment horizontal="centerContinuous" vertical="center"/>
    </xf>
    <xf numFmtId="0" fontId="14" fillId="4" borderId="0" xfId="0" applyFont="1" applyFill="1" applyAlignment="1">
      <alignment vertical="center"/>
    </xf>
    <xf numFmtId="0" fontId="1" fillId="5" borderId="0" xfId="0" applyFont="1" applyFill="1" applyAlignment="1">
      <alignment vertical="center"/>
    </xf>
    <xf numFmtId="0" fontId="1" fillId="0" borderId="0" xfId="0" applyFont="1" applyAlignment="1">
      <alignment wrapText="1"/>
    </xf>
    <xf numFmtId="0" fontId="1" fillId="0" borderId="32" xfId="0" applyFont="1" applyBorder="1"/>
    <xf numFmtId="0" fontId="1" fillId="0" borderId="34" xfId="0" applyFont="1" applyBorder="1"/>
    <xf numFmtId="41" fontId="1" fillId="0" borderId="34" xfId="0" applyNumberFormat="1" applyFont="1" applyBorder="1"/>
    <xf numFmtId="41" fontId="1" fillId="0" borderId="35" xfId="0" applyNumberFormat="1" applyFont="1" applyBorder="1"/>
    <xf numFmtId="0" fontId="1" fillId="0" borderId="31" xfId="0" applyFont="1" applyBorder="1"/>
    <xf numFmtId="41" fontId="1" fillId="0" borderId="32" xfId="0" applyNumberFormat="1" applyFont="1" applyBorder="1"/>
    <xf numFmtId="0" fontId="1" fillId="0" borderId="33" xfId="0" applyFont="1" applyBorder="1"/>
    <xf numFmtId="41" fontId="1" fillId="0" borderId="34" xfId="0" applyNumberFormat="1" applyFont="1" applyBorder="1" applyAlignment="1">
      <alignment horizontal="center"/>
    </xf>
    <xf numFmtId="10" fontId="1" fillId="0" borderId="32" xfId="0" applyNumberFormat="1" applyFont="1" applyBorder="1"/>
    <xf numFmtId="9" fontId="1" fillId="0" borderId="32" xfId="0" applyNumberFormat="1" applyFont="1" applyBorder="1"/>
    <xf numFmtId="10" fontId="1" fillId="0" borderId="35" xfId="0" applyNumberFormat="1" applyFont="1" applyBorder="1"/>
    <xf numFmtId="0" fontId="22" fillId="0" borderId="31" xfId="0" applyFont="1" applyBorder="1"/>
    <xf numFmtId="0" fontId="15" fillId="0" borderId="31" xfId="0" applyFont="1" applyBorder="1"/>
    <xf numFmtId="165" fontId="1" fillId="0" borderId="32" xfId="0" applyNumberFormat="1" applyFont="1" applyBorder="1"/>
    <xf numFmtId="0" fontId="15" fillId="0" borderId="34" xfId="0" applyFont="1" applyBorder="1"/>
    <xf numFmtId="43" fontId="1" fillId="0" borderId="33" xfId="0" applyNumberFormat="1" applyFont="1" applyBorder="1"/>
    <xf numFmtId="174" fontId="1" fillId="0" borderId="32" xfId="0" applyNumberFormat="1" applyFont="1" applyBorder="1"/>
    <xf numFmtId="0" fontId="1" fillId="0" borderId="34" xfId="0" applyFont="1" applyBorder="1" applyAlignment="1">
      <alignment wrapText="1"/>
    </xf>
    <xf numFmtId="0" fontId="17" fillId="0" borderId="0" xfId="0" applyFont="1" applyAlignment="1">
      <alignment horizontal="center"/>
    </xf>
    <xf numFmtId="0" fontId="1" fillId="0" borderId="34" xfId="0" applyFont="1" applyBorder="1" applyAlignment="1">
      <alignment horizontal="center"/>
    </xf>
    <xf numFmtId="0" fontId="15" fillId="0" borderId="0" xfId="0" applyFont="1" applyAlignment="1">
      <alignment horizontal="left"/>
    </xf>
    <xf numFmtId="0" fontId="1" fillId="0" borderId="19" xfId="0" applyFont="1" applyBorder="1" applyAlignment="1">
      <alignment horizontal="left"/>
    </xf>
    <xf numFmtId="0" fontId="1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" fillId="0" borderId="31" xfId="0" applyFont="1" applyBorder="1" applyAlignment="1">
      <alignment horizontal="center" vertical="top"/>
    </xf>
    <xf numFmtId="41" fontId="1" fillId="0" borderId="31" xfId="0" applyNumberFormat="1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2" fillId="0" borderId="0" xfId="0" applyFont="1" applyAlignment="1">
      <alignment horizontal="centerContinuous"/>
    </xf>
    <xf numFmtId="0" fontId="15" fillId="0" borderId="4" xfId="0" applyFont="1" applyBorder="1"/>
    <xf numFmtId="0" fontId="35" fillId="0" borderId="4" xfId="2" applyFont="1" applyFill="1" applyBorder="1" applyAlignment="1">
      <alignment horizontal="right" wrapText="1"/>
    </xf>
    <xf numFmtId="0" fontId="14" fillId="4" borderId="0" xfId="0" applyFont="1" applyFill="1" applyAlignment="1">
      <alignment horizontal="left" vertical="center"/>
    </xf>
    <xf numFmtId="0" fontId="33" fillId="0" borderId="0" xfId="1" applyFont="1" applyAlignment="1">
      <alignment horizontal="left" vertical="top" wrapText="1"/>
    </xf>
    <xf numFmtId="10" fontId="36" fillId="0" borderId="0" xfId="0" applyNumberFormat="1" applyFont="1"/>
    <xf numFmtId="9" fontId="36" fillId="0" borderId="0" xfId="0" applyNumberFormat="1" applyFont="1"/>
    <xf numFmtId="0" fontId="37" fillId="0" borderId="4" xfId="0" applyFont="1" applyBorder="1"/>
    <xf numFmtId="0" fontId="37" fillId="0" borderId="4" xfId="0" applyFont="1" applyBorder="1" applyAlignment="1">
      <alignment wrapText="1"/>
    </xf>
    <xf numFmtId="0" fontId="0" fillId="0" borderId="4" xfId="0" applyBorder="1"/>
    <xf numFmtId="0" fontId="38" fillId="0" borderId="21" xfId="0" applyFont="1" applyBorder="1" applyAlignment="1">
      <alignment horizontal="center"/>
    </xf>
    <xf numFmtId="0" fontId="38" fillId="0" borderId="21" xfId="0" applyFont="1" applyBorder="1" applyAlignment="1">
      <alignment horizontal="centerContinuous"/>
    </xf>
    <xf numFmtId="0" fontId="17" fillId="0" borderId="21" xfId="0" applyFont="1" applyBorder="1" applyAlignment="1">
      <alignment horizontal="centerContinuous"/>
    </xf>
    <xf numFmtId="0" fontId="17" fillId="0" borderId="21" xfId="0" applyFont="1" applyBorder="1" applyAlignment="1">
      <alignment horizontal="center"/>
    </xf>
    <xf numFmtId="41" fontId="15" fillId="0" borderId="7" xfId="0" applyNumberFormat="1" applyFont="1" applyBorder="1" applyAlignment="1">
      <alignment horizontal="right"/>
    </xf>
    <xf numFmtId="164" fontId="1" fillId="0" borderId="0" xfId="0" applyNumberFormat="1" applyFont="1"/>
    <xf numFmtId="0" fontId="40" fillId="0" borderId="0" xfId="0" applyFont="1" applyAlignment="1">
      <alignment horizontal="centerContinuous"/>
    </xf>
    <xf numFmtId="0" fontId="41" fillId="0" borderId="0" xfId="0" applyFont="1"/>
    <xf numFmtId="43" fontId="41" fillId="0" borderId="0" xfId="3" applyFont="1" applyAlignment="1"/>
    <xf numFmtId="0" fontId="40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1" fillId="0" borderId="39" xfId="0" applyFont="1" applyBorder="1"/>
    <xf numFmtId="0" fontId="1" fillId="0" borderId="40" xfId="0" applyFont="1" applyBorder="1"/>
    <xf numFmtId="0" fontId="41" fillId="0" borderId="39" xfId="0" applyFont="1" applyBorder="1"/>
    <xf numFmtId="0" fontId="1" fillId="0" borderId="41" xfId="0" applyFont="1" applyBorder="1"/>
    <xf numFmtId="176" fontId="43" fillId="0" borderId="0" xfId="0" applyNumberFormat="1" applyFont="1"/>
    <xf numFmtId="0" fontId="44" fillId="9" borderId="0" xfId="0" applyFont="1" applyFill="1"/>
    <xf numFmtId="10" fontId="15" fillId="0" borderId="6" xfId="0" applyNumberFormat="1" applyFont="1" applyBorder="1"/>
    <xf numFmtId="10" fontId="43" fillId="0" borderId="0" xfId="0" applyNumberFormat="1" applyFont="1"/>
    <xf numFmtId="178" fontId="1" fillId="0" borderId="35" xfId="0" applyNumberFormat="1" applyFont="1" applyBorder="1"/>
    <xf numFmtId="0" fontId="1" fillId="10" borderId="0" xfId="0" applyFont="1" applyFill="1"/>
    <xf numFmtId="0" fontId="1" fillId="10" borderId="0" xfId="0" applyFont="1" applyFill="1" applyAlignment="1">
      <alignment horizontal="centerContinuous" vertical="center"/>
    </xf>
    <xf numFmtId="0" fontId="1" fillId="10" borderId="0" xfId="0" applyFont="1" applyFill="1" applyAlignment="1">
      <alignment horizontal="centerContinuous"/>
    </xf>
    <xf numFmtId="0" fontId="45" fillId="10" borderId="42" xfId="0" applyFont="1" applyFill="1" applyBorder="1"/>
    <xf numFmtId="0" fontId="46" fillId="10" borderId="42" xfId="0" applyFont="1" applyFill="1" applyBorder="1" applyAlignment="1">
      <alignment horizontal="centerContinuous" vertical="center"/>
    </xf>
    <xf numFmtId="189" fontId="7" fillId="10" borderId="42" xfId="0" applyNumberFormat="1" applyFont="1" applyFill="1" applyBorder="1"/>
    <xf numFmtId="0" fontId="47" fillId="10" borderId="42" xfId="0" applyFont="1" applyFill="1" applyBorder="1" applyAlignment="1">
      <alignment horizontal="centerContinuous"/>
    </xf>
    <xf numFmtId="0" fontId="48" fillId="10" borderId="42" xfId="0" applyFont="1" applyFill="1" applyBorder="1" applyAlignment="1">
      <alignment horizontal="centerContinuous"/>
    </xf>
    <xf numFmtId="0" fontId="48" fillId="10" borderId="0" xfId="0" applyFont="1" applyFill="1" applyAlignment="1">
      <alignment horizontal="centerContinuous"/>
    </xf>
    <xf numFmtId="0" fontId="1" fillId="10" borderId="0" xfId="0" applyFont="1" applyFill="1" applyAlignment="1">
      <alignment horizontal="center"/>
    </xf>
    <xf numFmtId="0" fontId="1" fillId="0" borderId="43" xfId="0" applyFont="1" applyBorder="1"/>
    <xf numFmtId="41" fontId="1" fillId="0" borderId="4" xfId="0" applyNumberFormat="1" applyFont="1" applyBorder="1"/>
    <xf numFmtId="164" fontId="15" fillId="0" borderId="0" xfId="0" applyNumberFormat="1" applyFont="1"/>
    <xf numFmtId="0" fontId="45" fillId="0" borderId="0" xfId="0" applyFont="1"/>
    <xf numFmtId="0" fontId="1" fillId="0" borderId="44" xfId="0" applyFont="1" applyBorder="1"/>
    <xf numFmtId="0" fontId="45" fillId="0" borderId="44" xfId="0" applyFont="1" applyBorder="1"/>
    <xf numFmtId="0" fontId="14" fillId="11" borderId="0" xfId="0" applyFont="1" applyFill="1"/>
    <xf numFmtId="41" fontId="5" fillId="11" borderId="0" xfId="0" applyNumberFormat="1" applyFont="1" applyFill="1"/>
    <xf numFmtId="0" fontId="5" fillId="11" borderId="0" xfId="0" applyFont="1" applyFill="1"/>
    <xf numFmtId="0" fontId="1" fillId="10" borderId="42" xfId="0" applyFont="1" applyFill="1" applyBorder="1"/>
    <xf numFmtId="0" fontId="46" fillId="10" borderId="42" xfId="0" applyFont="1" applyFill="1" applyBorder="1" applyAlignment="1">
      <alignment horizontal="centerContinuous"/>
    </xf>
    <xf numFmtId="0" fontId="52" fillId="8" borderId="0" xfId="2" applyFont="1" applyAlignment="1">
      <alignment horizontal="left" wrapText="1"/>
    </xf>
    <xf numFmtId="0" fontId="52" fillId="8" borderId="0" xfId="2" applyFont="1" applyAlignment="1">
      <alignment horizontal="right" wrapText="1"/>
    </xf>
    <xf numFmtId="49" fontId="36" fillId="0" borderId="0" xfId="0" applyNumberFormat="1" applyFont="1" applyAlignment="1">
      <alignment horizontal="left" vertical="top"/>
    </xf>
    <xf numFmtId="0" fontId="5" fillId="0" borderId="0" xfId="0" applyFont="1"/>
    <xf numFmtId="0" fontId="1" fillId="0" borderId="0" xfId="0" applyFont="1" applyAlignment="1">
      <alignment horizontal="centerContinuous" vertical="center"/>
    </xf>
    <xf numFmtId="0" fontId="46" fillId="10" borderId="42" xfId="0" applyFont="1" applyFill="1" applyBorder="1" applyAlignment="1">
      <alignment horizontal="center" vertical="center"/>
    </xf>
    <xf numFmtId="0" fontId="47" fillId="10" borderId="42" xfId="0" applyFont="1" applyFill="1" applyBorder="1" applyAlignment="1">
      <alignment horizontal="center"/>
    </xf>
    <xf numFmtId="191" fontId="7" fillId="10" borderId="42" xfId="0" applyNumberFormat="1" applyFont="1" applyFill="1" applyBorder="1" applyAlignment="1">
      <alignment horizontal="center" vertical="top"/>
    </xf>
    <xf numFmtId="178" fontId="5" fillId="11" borderId="0" xfId="0" applyNumberFormat="1" applyFont="1" applyFill="1"/>
    <xf numFmtId="0" fontId="53" fillId="0" borderId="0" xfId="0" applyFont="1"/>
    <xf numFmtId="0" fontId="9" fillId="11" borderId="22" xfId="0" applyFont="1" applyFill="1" applyBorder="1"/>
    <xf numFmtId="0" fontId="9" fillId="11" borderId="23" xfId="0" applyFont="1" applyFill="1" applyBorder="1"/>
    <xf numFmtId="0" fontId="5" fillId="11" borderId="23" xfId="0" applyFont="1" applyFill="1" applyBorder="1"/>
    <xf numFmtId="41" fontId="9" fillId="11" borderId="23" xfId="0" applyNumberFormat="1" applyFont="1" applyFill="1" applyBorder="1"/>
    <xf numFmtId="178" fontId="9" fillId="11" borderId="24" xfId="0" applyNumberFormat="1" applyFont="1" applyFill="1" applyBorder="1"/>
    <xf numFmtId="0" fontId="9" fillId="11" borderId="36" xfId="0" applyFont="1" applyFill="1" applyBorder="1"/>
    <xf numFmtId="41" fontId="5" fillId="11" borderId="37" xfId="0" applyNumberFormat="1" applyFont="1" applyFill="1" applyBorder="1"/>
    <xf numFmtId="178" fontId="9" fillId="11" borderId="38" xfId="0" applyNumberFormat="1" applyFont="1" applyFill="1" applyBorder="1"/>
    <xf numFmtId="0" fontId="1" fillId="11" borderId="0" xfId="0" applyFont="1" applyFill="1"/>
    <xf numFmtId="0" fontId="45" fillId="11" borderId="0" xfId="0" applyFont="1" applyFill="1"/>
    <xf numFmtId="43" fontId="41" fillId="11" borderId="0" xfId="3" applyFont="1" applyFill="1" applyAlignment="1"/>
    <xf numFmtId="0" fontId="41" fillId="11" borderId="0" xfId="0" applyFont="1" applyFill="1"/>
    <xf numFmtId="0" fontId="42" fillId="11" borderId="0" xfId="0" applyFont="1" applyFill="1" applyAlignment="1">
      <alignment horizontal="center"/>
    </xf>
    <xf numFmtId="178" fontId="1" fillId="0" borderId="45" xfId="0" applyNumberFormat="1" applyFont="1" applyBorder="1"/>
    <xf numFmtId="178" fontId="1" fillId="0" borderId="46" xfId="0" applyNumberFormat="1" applyFont="1" applyBorder="1"/>
    <xf numFmtId="178" fontId="1" fillId="0" borderId="47" xfId="0" applyNumberFormat="1" applyFont="1" applyBorder="1"/>
    <xf numFmtId="41" fontId="1" fillId="13" borderId="48" xfId="0" applyNumberFormat="1" applyFont="1" applyFill="1" applyBorder="1"/>
    <xf numFmtId="41" fontId="1" fillId="13" borderId="0" xfId="0" applyNumberFormat="1" applyFont="1" applyFill="1"/>
    <xf numFmtId="178" fontId="1" fillId="13" borderId="49" xfId="0" applyNumberFormat="1" applyFont="1" applyFill="1" applyBorder="1"/>
    <xf numFmtId="41" fontId="1" fillId="13" borderId="49" xfId="0" applyNumberFormat="1" applyFont="1" applyFill="1" applyBorder="1"/>
    <xf numFmtId="192" fontId="58" fillId="16" borderId="53" xfId="0" applyNumberFormat="1" applyFont="1" applyFill="1" applyBorder="1" applyAlignment="1">
      <alignment horizontal="left" vertical="center" indent="1"/>
    </xf>
    <xf numFmtId="192" fontId="58" fillId="16" borderId="48" xfId="0" applyNumberFormat="1" applyFont="1" applyFill="1" applyBorder="1" applyAlignment="1">
      <alignment horizontal="left" vertical="center" indent="1"/>
    </xf>
    <xf numFmtId="192" fontId="58" fillId="16" borderId="0" xfId="0" applyNumberFormat="1" applyFont="1" applyFill="1" applyAlignment="1">
      <alignment horizontal="left" vertical="center" indent="1"/>
    </xf>
    <xf numFmtId="192" fontId="58" fillId="16" borderId="49" xfId="0" applyNumberFormat="1" applyFont="1" applyFill="1" applyBorder="1" applyAlignment="1">
      <alignment horizontal="left" vertical="center" indent="1"/>
    </xf>
    <xf numFmtId="176" fontId="0" fillId="0" borderId="0" xfId="0" applyNumberFormat="1"/>
    <xf numFmtId="185" fontId="1" fillId="0" borderId="0" xfId="0" applyNumberFormat="1" applyFont="1"/>
    <xf numFmtId="192" fontId="56" fillId="15" borderId="53" xfId="0" applyNumberFormat="1" applyFont="1" applyFill="1" applyBorder="1" applyAlignment="1">
      <alignment horizontal="left" vertical="center" indent="1"/>
    </xf>
    <xf numFmtId="41" fontId="2" fillId="13" borderId="48" xfId="0" applyNumberFormat="1" applyFont="1" applyFill="1" applyBorder="1" applyAlignment="1">
      <alignment horizontal="center" vertical="top" wrapText="1"/>
    </xf>
    <xf numFmtId="41" fontId="2" fillId="13" borderId="0" xfId="0" applyNumberFormat="1" applyFont="1" applyFill="1" applyAlignment="1">
      <alignment horizontal="center" vertical="top" wrapText="1"/>
    </xf>
    <xf numFmtId="41" fontId="2" fillId="13" borderId="49" xfId="0" applyNumberFormat="1" applyFont="1" applyFill="1" applyBorder="1" applyAlignment="1">
      <alignment horizontal="center" vertical="top" wrapText="1"/>
    </xf>
    <xf numFmtId="41" fontId="2" fillId="13" borderId="50" xfId="0" applyNumberFormat="1" applyFont="1" applyFill="1" applyBorder="1" applyAlignment="1">
      <alignment horizontal="center" vertical="top" wrapText="1"/>
    </xf>
    <xf numFmtId="41" fontId="2" fillId="13" borderId="51" xfId="0" applyNumberFormat="1" applyFont="1" applyFill="1" applyBorder="1" applyAlignment="1">
      <alignment horizontal="center" vertical="top" wrapText="1"/>
    </xf>
    <xf numFmtId="41" fontId="2" fillId="13" borderId="52" xfId="0" applyNumberFormat="1" applyFont="1" applyFill="1" applyBorder="1" applyAlignment="1">
      <alignment horizontal="center" vertical="top" wrapText="1"/>
    </xf>
    <xf numFmtId="192" fontId="57" fillId="16" borderId="54" xfId="0" applyNumberFormat="1" applyFont="1" applyFill="1" applyBorder="1" applyAlignment="1">
      <alignment horizontal="left" vertical="center" indent="1"/>
    </xf>
    <xf numFmtId="192" fontId="56" fillId="15" borderId="48" xfId="0" applyNumberFormat="1" applyFont="1" applyFill="1" applyBorder="1" applyAlignment="1">
      <alignment horizontal="left" vertical="center" indent="1"/>
    </xf>
    <xf numFmtId="192" fontId="56" fillId="15" borderId="0" xfId="0" applyNumberFormat="1" applyFont="1" applyFill="1" applyAlignment="1">
      <alignment horizontal="left" vertical="center" indent="1"/>
    </xf>
    <xf numFmtId="192" fontId="56" fillId="15" borderId="49" xfId="0" applyNumberFormat="1" applyFont="1" applyFill="1" applyBorder="1" applyAlignment="1">
      <alignment horizontal="left" vertical="center" indent="1"/>
    </xf>
    <xf numFmtId="192" fontId="55" fillId="14" borderId="48" xfId="0" applyNumberFormat="1" applyFont="1" applyFill="1" applyBorder="1" applyAlignment="1">
      <alignment horizontal="left" vertical="center" indent="1"/>
    </xf>
    <xf numFmtId="192" fontId="55" fillId="14" borderId="0" xfId="0" applyNumberFormat="1" applyFont="1" applyFill="1" applyAlignment="1">
      <alignment horizontal="left" vertical="center" indent="1"/>
    </xf>
    <xf numFmtId="192" fontId="55" fillId="14" borderId="49" xfId="0" applyNumberFormat="1" applyFont="1" applyFill="1" applyBorder="1" applyAlignment="1">
      <alignment horizontal="left" vertical="center" indent="1"/>
    </xf>
    <xf numFmtId="41" fontId="9" fillId="12" borderId="0" xfId="0" applyNumberFormat="1" applyFont="1" applyFill="1" applyAlignment="1">
      <alignment horizontal="center"/>
    </xf>
    <xf numFmtId="0" fontId="5" fillId="11" borderId="0" xfId="0" applyFont="1" applyFill="1" applyAlignment="1">
      <alignment horizontal="left"/>
    </xf>
    <xf numFmtId="192" fontId="59" fillId="17" borderId="53" xfId="0" applyNumberFormat="1" applyFont="1" applyFill="1" applyBorder="1" applyAlignment="1">
      <alignment horizontal="left" vertical="center" indent="1"/>
    </xf>
    <xf numFmtId="192" fontId="60" fillId="17" borderId="53" xfId="0" applyNumberFormat="1" applyFont="1" applyFill="1" applyBorder="1" applyAlignment="1">
      <alignment horizontal="left" vertical="center" indent="1"/>
    </xf>
    <xf numFmtId="192" fontId="59" fillId="17" borderId="54" xfId="0" applyNumberFormat="1" applyFont="1" applyFill="1" applyBorder="1" applyAlignment="1">
      <alignment horizontal="left" vertical="center" indent="1"/>
    </xf>
    <xf numFmtId="0" fontId="1" fillId="10" borderId="0" xfId="0" applyFont="1" applyFill="1" applyAlignment="1">
      <alignment horizontal="center"/>
    </xf>
    <xf numFmtId="0" fontId="40" fillId="0" borderId="0" xfId="0" applyFont="1" applyAlignment="1">
      <alignment horizontal="right"/>
    </xf>
    <xf numFmtId="0" fontId="50" fillId="11" borderId="0" xfId="0" applyFont="1" applyFill="1" applyAlignment="1">
      <alignment horizontal="center" vertical="center"/>
    </xf>
    <xf numFmtId="0" fontId="42" fillId="11" borderId="0" xfId="0" applyFont="1" applyFill="1" applyAlignment="1">
      <alignment horizontal="center" vertical="center"/>
    </xf>
    <xf numFmtId="190" fontId="51" fillId="10" borderId="42" xfId="0" applyNumberFormat="1" applyFont="1" applyFill="1" applyBorder="1" applyAlignment="1">
      <alignment horizontal="center"/>
    </xf>
    <xf numFmtId="190" fontId="51" fillId="10" borderId="0" xfId="0" applyNumberFormat="1" applyFont="1" applyFill="1" applyAlignment="1">
      <alignment horizontal="center"/>
    </xf>
    <xf numFmtId="190" fontId="7" fillId="10" borderId="42" xfId="0" applyNumberFormat="1" applyFont="1" applyFill="1" applyBorder="1" applyAlignment="1">
      <alignment horizontal="center"/>
    </xf>
    <xf numFmtId="190" fontId="7" fillId="10" borderId="0" xfId="0" applyNumberFormat="1" applyFont="1" applyFill="1" applyAlignment="1">
      <alignment horizontal="center"/>
    </xf>
    <xf numFmtId="10" fontId="49" fillId="10" borderId="0" xfId="0" applyNumberFormat="1" applyFont="1" applyFill="1" applyAlignment="1">
      <alignment horizontal="center" vertical="center"/>
    </xf>
    <xf numFmtId="41" fontId="15" fillId="0" borderId="4" xfId="0" applyNumberFormat="1" applyFont="1" applyBorder="1" applyAlignment="1">
      <alignment horizontal="center"/>
    </xf>
    <xf numFmtId="0" fontId="15" fillId="0" borderId="21" xfId="0" applyFont="1" applyBorder="1" applyAlignment="1">
      <alignment horizontal="center"/>
    </xf>
    <xf numFmtId="0" fontId="15" fillId="0" borderId="17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6">
    <cellStyle name="ColumnHeaderNormal" xfId="2" xr:uid="{98A09200-C040-46BB-8FDD-895C43CB753A}"/>
    <cellStyle name="Comma" xfId="3" builtinId="3"/>
    <cellStyle name="Normal" xfId="0" builtinId="0"/>
    <cellStyle name="Normal 2" xfId="5" xr:uid="{74B5BD09-988F-448A-B72D-216471E90EF8}"/>
    <cellStyle name="Percent 2" xfId="4" xr:uid="{00E1DEE2-354D-40ED-845C-D7344BD849EE}"/>
    <cellStyle name="TextNormal" xfId="1" xr:uid="{BF366F2B-193E-4CE6-8956-41FB016CB93D}"/>
  </cellStyles>
  <dxfs count="2">
    <dxf>
      <font>
        <color theme="0"/>
      </font>
      <fill>
        <patternFill>
          <fgColor rgb="FFFF3300"/>
          <bgColor rgb="FFFD1F1F"/>
        </patternFill>
      </fill>
    </dxf>
    <dxf>
      <font>
        <color theme="0"/>
      </font>
      <fill>
        <patternFill>
          <bgColor theme="9"/>
        </patternFill>
      </fill>
    </dxf>
  </dxfs>
  <tableStyles count="0" defaultTableStyle="TableStyleMedium2" defaultPivotStyle="PivotStyleLight16"/>
  <colors>
    <mruColors>
      <color rgb="FFFFF5DC"/>
      <color rgb="FF002970"/>
      <color rgb="FFEBF4FF"/>
      <color rgb="FF002D62"/>
      <color rgb="FF002A5C"/>
      <color rgb="FF7E8DA6"/>
      <color rgb="FF00BAF2"/>
      <color rgb="FF102751"/>
      <color rgb="FF0000FF"/>
      <color rgb="FF0A1F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Summary!$B$13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rgbClr val="002060"/>
            </a:solidFill>
            <a:ln>
              <a:solidFill>
                <a:schemeClr val="tx2">
                  <a:lumMod val="50000"/>
                  <a:lumOff val="50000"/>
                </a:schemeClr>
              </a:solidFill>
            </a:ln>
            <a:effectLst/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Summary!$C$5:$L$5</c15:sqref>
                  </c15:fullRef>
                </c:ext>
              </c:extLst>
              <c:f>Summary!$D$5:$L$5</c:f>
              <c:numCache>
                <c:formatCode>General</c:formatCode>
                <c:ptCount val="9"/>
                <c:pt idx="0">
                  <c:v>2027</c:v>
                </c:pt>
                <c:pt idx="1">
                  <c:v>2028</c:v>
                </c:pt>
                <c:pt idx="2">
                  <c:v>2029</c:v>
                </c:pt>
                <c:pt idx="3">
                  <c:v>2030</c:v>
                </c:pt>
                <c:pt idx="4">
                  <c:v>2031</c:v>
                </c:pt>
                <c:pt idx="5">
                  <c:v>2032</c:v>
                </c:pt>
                <c:pt idx="6">
                  <c:v>2033</c:v>
                </c:pt>
                <c:pt idx="7">
                  <c:v>2034</c:v>
                </c:pt>
                <c:pt idx="8">
                  <c:v>2035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Summary!$C$13:$L$13</c15:sqref>
                  </c15:fullRef>
                </c:ext>
              </c:extLst>
              <c:f>Summary!$D$13:$L$13</c:f>
              <c:numCache>
                <c:formatCode>_(* #,##0_);_(* \(#,##0\);_(* "-"_);_(@_)</c:formatCode>
                <c:ptCount val="9"/>
                <c:pt idx="0">
                  <c:v>105407.24152541082</c:v>
                </c:pt>
                <c:pt idx="1">
                  <c:v>131013.05545042307</c:v>
                </c:pt>
                <c:pt idx="2">
                  <c:v>158592.23803931684</c:v>
                </c:pt>
                <c:pt idx="3">
                  <c:v>190853.35280077794</c:v>
                </c:pt>
                <c:pt idx="4">
                  <c:v>221683.35242003284</c:v>
                </c:pt>
                <c:pt idx="5">
                  <c:v>265549.3871259091</c:v>
                </c:pt>
                <c:pt idx="6">
                  <c:v>304355.93069237191</c:v>
                </c:pt>
                <c:pt idx="7">
                  <c:v>343102.65571900061</c:v>
                </c:pt>
                <c:pt idx="8">
                  <c:v>385331.15019755653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3-4175-B897-0AFCFA932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overlap val="-27"/>
        <c:axId val="1064738431"/>
        <c:axId val="1064737471"/>
      </c:barChart>
      <c:lineChart>
        <c:grouping val="standard"/>
        <c:varyColors val="0"/>
        <c:ser>
          <c:idx val="1"/>
          <c:order val="1"/>
          <c:tx>
            <c:strRef>
              <c:f>Summary!$B$19</c:f>
              <c:strCache>
                <c:ptCount val="1"/>
                <c:pt idx="0">
                  <c:v>Contribution margin 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9"/>
              <c:pt idx="0">
                <c:v>2</c:v>
              </c:pt>
              <c:pt idx="1">
                <c:v>3</c:v>
              </c:pt>
              <c:pt idx="2">
                <c:v>4</c:v>
              </c:pt>
              <c:pt idx="3">
                <c:v>5</c:v>
              </c:pt>
              <c:pt idx="4">
                <c:v>6</c:v>
              </c:pt>
              <c:pt idx="5">
                <c:v>7</c:v>
              </c:pt>
              <c:pt idx="6">
                <c:v>8</c:v>
              </c:pt>
              <c:pt idx="7">
                <c:v>9</c:v>
              </c:pt>
              <c:pt idx="8">
                <c:v>10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Summary!$C$19:$L$19</c15:sqref>
                  </c15:fullRef>
                </c:ext>
              </c:extLst>
              <c:f>Summary!$D$19:$L$19</c:f>
              <c:numCache>
                <c:formatCode>0.00%</c:formatCode>
                <c:ptCount val="9"/>
                <c:pt idx="0">
                  <c:v>0.62695818477316312</c:v>
                </c:pt>
                <c:pt idx="1">
                  <c:v>0.63519215562573828</c:v>
                </c:pt>
                <c:pt idx="2">
                  <c:v>0.64576060458694196</c:v>
                </c:pt>
                <c:pt idx="3">
                  <c:v>0.6560292057880448</c:v>
                </c:pt>
                <c:pt idx="4">
                  <c:v>0.66065216336528165</c:v>
                </c:pt>
                <c:pt idx="5">
                  <c:v>0.67942461265991783</c:v>
                </c:pt>
                <c:pt idx="6">
                  <c:v>0.68340284923209582</c:v>
                </c:pt>
                <c:pt idx="7">
                  <c:v>0.68574370761865389</c:v>
                </c:pt>
                <c:pt idx="8">
                  <c:v>0.6872752258268604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73-4175-B897-0AFCFA932E55}"/>
            </c:ext>
          </c:extLst>
        </c:ser>
        <c:ser>
          <c:idx val="2"/>
          <c:order val="2"/>
          <c:tx>
            <c:strRef>
              <c:f>Summary!$B$20</c:f>
              <c:strCache>
                <c:ptCount val="1"/>
                <c:pt idx="0">
                  <c:v>EBITDA margin %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Lit>
              <c:ptCount val="9"/>
              <c:pt idx="0">
                <c:v>200.00%</c:v>
              </c:pt>
              <c:pt idx="1">
                <c:v>300.00%</c:v>
              </c:pt>
              <c:pt idx="2">
                <c:v>400.00%</c:v>
              </c:pt>
              <c:pt idx="3">
                <c:v>500.00%</c:v>
              </c:pt>
              <c:pt idx="4">
                <c:v>600.00%</c:v>
              </c:pt>
              <c:pt idx="5">
                <c:v>700.00%</c:v>
              </c:pt>
              <c:pt idx="6">
                <c:v>800.00%</c:v>
              </c:pt>
              <c:pt idx="7">
                <c:v>900.00%</c:v>
              </c:pt>
              <c:pt idx="8">
                <c:v>1000.00%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Summary!$C$20:$L$20</c15:sqref>
                  </c15:fullRef>
                </c:ext>
              </c:extLst>
              <c:f>Summary!$D$20:$L$20</c:f>
              <c:numCache>
                <c:formatCode>0.00%</c:formatCode>
                <c:ptCount val="9"/>
                <c:pt idx="0">
                  <c:v>0.14420818477316305</c:v>
                </c:pt>
                <c:pt idx="1">
                  <c:v>0.17899771118129382</c:v>
                </c:pt>
                <c:pt idx="2">
                  <c:v>0.2076911601424975</c:v>
                </c:pt>
                <c:pt idx="3">
                  <c:v>0.23390976134360042</c:v>
                </c:pt>
                <c:pt idx="4">
                  <c:v>0.24744938558750387</c:v>
                </c:pt>
                <c:pt idx="5">
                  <c:v>0.27347183488214005</c:v>
                </c:pt>
                <c:pt idx="6">
                  <c:v>0.277595071454318</c:v>
                </c:pt>
                <c:pt idx="7">
                  <c:v>0.28008092984087607</c:v>
                </c:pt>
                <c:pt idx="8">
                  <c:v>0.30227522582686028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73-4175-B897-0AFCFA932E55}"/>
            </c:ext>
          </c:extLst>
        </c:ser>
        <c:ser>
          <c:idx val="3"/>
          <c:order val="3"/>
          <c:tx>
            <c:strRef>
              <c:f>Summary!$B$21</c:f>
              <c:strCache>
                <c:ptCount val="1"/>
                <c:pt idx="0">
                  <c:v>Net margin %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Lit>
              <c:ptCount val="9"/>
              <c:pt idx="0">
                <c:v>200.00%</c:v>
              </c:pt>
              <c:pt idx="1">
                <c:v>300.00%</c:v>
              </c:pt>
              <c:pt idx="2">
                <c:v>400.00%</c:v>
              </c:pt>
              <c:pt idx="3">
                <c:v>500.00%</c:v>
              </c:pt>
              <c:pt idx="4">
                <c:v>600.00%</c:v>
              </c:pt>
              <c:pt idx="5">
                <c:v>700.00%</c:v>
              </c:pt>
              <c:pt idx="6">
                <c:v>800.00%</c:v>
              </c:pt>
              <c:pt idx="7">
                <c:v>900.00%</c:v>
              </c:pt>
              <c:pt idx="8">
                <c:v>1000.00%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Summary!$C$21:$L$21</c15:sqref>
                  </c15:fullRef>
                </c:ext>
              </c:extLst>
              <c:f>Summary!$D$21:$L$21</c:f>
              <c:numCache>
                <c:formatCode>0.00%</c:formatCode>
                <c:ptCount val="9"/>
                <c:pt idx="0">
                  <c:v>0.15095850609827249</c:v>
                </c:pt>
                <c:pt idx="1">
                  <c:v>0.1440965579162643</c:v>
                </c:pt>
                <c:pt idx="2">
                  <c:v>0.16162966457079053</c:v>
                </c:pt>
                <c:pt idx="3">
                  <c:v>0.17841844670318541</c:v>
                </c:pt>
                <c:pt idx="4">
                  <c:v>0.18783563147536733</c:v>
                </c:pt>
                <c:pt idx="5">
                  <c:v>0.20872162535621422</c:v>
                </c:pt>
                <c:pt idx="6">
                  <c:v>0.23561291921013333</c:v>
                </c:pt>
                <c:pt idx="7">
                  <c:v>0.24249166481783921</c:v>
                </c:pt>
                <c:pt idx="8">
                  <c:v>0.26514605906342492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73-4175-B897-0AFCFA932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64357071"/>
        <c:axId val="1064356111"/>
      </c:lineChart>
      <c:catAx>
        <c:axId val="1064738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737471"/>
        <c:crosses val="autoZero"/>
        <c:auto val="1"/>
        <c:lblAlgn val="ctr"/>
        <c:lblOffset val="100"/>
        <c:noMultiLvlLbl val="0"/>
      </c:catAx>
      <c:valAx>
        <c:axId val="10647374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738431"/>
        <c:crosses val="autoZero"/>
        <c:crossBetween val="between"/>
      </c:valAx>
      <c:valAx>
        <c:axId val="1064356111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4357071"/>
        <c:crosses val="max"/>
        <c:crossBetween val="between"/>
      </c:valAx>
      <c:catAx>
        <c:axId val="1064357071"/>
        <c:scaling>
          <c:orientation val="minMax"/>
        </c:scaling>
        <c:delete val="1"/>
        <c:axPos val="b"/>
        <c:majorTickMark val="out"/>
        <c:minorTickMark val="none"/>
        <c:tickLblPos val="nextTo"/>
        <c:crossAx val="106435611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'Raw Data'!$A$265</c:f>
              <c:strCache>
                <c:ptCount val="1"/>
                <c:pt idx="0">
                  <c:v>Payment services</c:v>
                </c:pt>
              </c:strCache>
            </c:strRef>
          </c:tx>
          <c:spPr>
            <a:solidFill>
              <a:srgbClr val="002970"/>
            </a:solidFill>
            <a:ln>
              <a:noFill/>
            </a:ln>
            <a:effectLst/>
          </c:spPr>
          <c:invertIfNegative val="0"/>
          <c:cat>
            <c:numRef>
              <c:f>'Raw Data'!$B$264:$K$264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cat>
          <c:val>
            <c:numRef>
              <c:f>'Raw Data'!$B$265:$K$265</c:f>
              <c:numCache>
                <c:formatCode>0.00%</c:formatCode>
                <c:ptCount val="10"/>
                <c:pt idx="0">
                  <c:v>0.57970842716605431</c:v>
                </c:pt>
                <c:pt idx="1">
                  <c:v>0.56942469175000499</c:v>
                </c:pt>
                <c:pt idx="2">
                  <c:v>0.5591503283892113</c:v>
                </c:pt>
                <c:pt idx="3">
                  <c:v>0.54795599915147275</c:v>
                </c:pt>
                <c:pt idx="4">
                  <c:v>0.53615662353453319</c:v>
                </c:pt>
                <c:pt idx="5">
                  <c:v>0.52867261977934465</c:v>
                </c:pt>
                <c:pt idx="6">
                  <c:v>0.54078274773573087</c:v>
                </c:pt>
                <c:pt idx="7">
                  <c:v>0.53468576801284162</c:v>
                </c:pt>
                <c:pt idx="8">
                  <c:v>0.53084352066265428</c:v>
                </c:pt>
                <c:pt idx="9">
                  <c:v>0.52835132050634925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BE-4DBA-A00B-8FF244D026F4}"/>
            </c:ext>
          </c:extLst>
        </c:ser>
        <c:ser>
          <c:idx val="1"/>
          <c:order val="1"/>
          <c:tx>
            <c:strRef>
              <c:f>'Raw Data'!$A$266</c:f>
              <c:strCache>
                <c:ptCount val="1"/>
                <c:pt idx="0">
                  <c:v>Financial services</c:v>
                </c:pt>
              </c:strCache>
            </c:strRef>
          </c:tx>
          <c:spPr>
            <a:solidFill>
              <a:srgbClr val="00BAF2"/>
            </a:solidFill>
            <a:ln>
              <a:noFill/>
            </a:ln>
            <a:effectLst/>
          </c:spPr>
          <c:invertIfNegative val="0"/>
          <c:cat>
            <c:numRef>
              <c:f>'Raw Data'!$B$264:$K$264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cat>
          <c:val>
            <c:numRef>
              <c:f>'Raw Data'!$B$266:$K$266</c:f>
              <c:numCache>
                <c:formatCode>0.00%</c:formatCode>
                <c:ptCount val="10"/>
                <c:pt idx="0">
                  <c:v>0.30745525660779899</c:v>
                </c:pt>
                <c:pt idx="1">
                  <c:v>0.3275826841598542</c:v>
                </c:pt>
                <c:pt idx="2">
                  <c:v>0.34947691477623138</c:v>
                </c:pt>
                <c:pt idx="3">
                  <c:v>0.36899304391802812</c:v>
                </c:pt>
                <c:pt idx="4">
                  <c:v>0.38806879475832856</c:v>
                </c:pt>
                <c:pt idx="5">
                  <c:v>0.39983766748317795</c:v>
                </c:pt>
                <c:pt idx="6">
                  <c:v>0.39393562883631811</c:v>
                </c:pt>
                <c:pt idx="7">
                  <c:v>0.40311777166891083</c:v>
                </c:pt>
                <c:pt idx="8">
                  <c:v>0.40900762682575154</c:v>
                </c:pt>
                <c:pt idx="9">
                  <c:v>0.41386520568372276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BE-4DBA-A00B-8FF244D026F4}"/>
            </c:ext>
          </c:extLst>
        </c:ser>
        <c:ser>
          <c:idx val="2"/>
          <c:order val="2"/>
          <c:tx>
            <c:strRef>
              <c:f>'Raw Data'!$A$267</c:f>
              <c:strCache>
                <c:ptCount val="1"/>
                <c:pt idx="0">
                  <c:v>Marketing services</c:v>
                </c:pt>
              </c:strCache>
            </c:strRef>
          </c:tx>
          <c:spPr>
            <a:solidFill>
              <a:srgbClr val="7E8DA6"/>
            </a:solidFill>
            <a:ln>
              <a:noFill/>
            </a:ln>
            <a:effectLst/>
          </c:spPr>
          <c:invertIfNegative val="0"/>
          <c:cat>
            <c:numRef>
              <c:f>'Raw Data'!$B$264:$K$264</c:f>
              <c:numCache>
                <c:formatCode>General</c:formatCode>
                <c:ptCount val="10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</c:numCache>
            </c:numRef>
          </c:cat>
          <c:val>
            <c:numRef>
              <c:f>'Raw Data'!$B$267:$K$267</c:f>
              <c:numCache>
                <c:formatCode>0.00%</c:formatCode>
                <c:ptCount val="10"/>
                <c:pt idx="0">
                  <c:v>0.11283631622614673</c:v>
                </c:pt>
                <c:pt idx="1">
                  <c:v>0.10299262409014072</c:v>
                </c:pt>
                <c:pt idx="2">
                  <c:v>9.1372756834557242E-2</c:v>
                </c:pt>
                <c:pt idx="3">
                  <c:v>8.3050956930499062E-2</c:v>
                </c:pt>
                <c:pt idx="4">
                  <c:v>7.5774581707138425E-2</c:v>
                </c:pt>
                <c:pt idx="5">
                  <c:v>7.1489712737477423E-2</c:v>
                </c:pt>
                <c:pt idx="6">
                  <c:v>6.5281623427951074E-2</c:v>
                </c:pt>
                <c:pt idx="7">
                  <c:v>6.2196460318247604E-2</c:v>
                </c:pt>
                <c:pt idx="8">
                  <c:v>6.0148852511594131E-2</c:v>
                </c:pt>
                <c:pt idx="9">
                  <c:v>5.7783473809927953E-2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BE-4DBA-A00B-8FF244D026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0843631"/>
        <c:axId val="730844111"/>
      </c:barChart>
      <c:catAx>
        <c:axId val="73084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0844111"/>
        <c:crosses val="autoZero"/>
        <c:auto val="1"/>
        <c:lblAlgn val="ctr"/>
        <c:lblOffset val="100"/>
        <c:noMultiLvlLbl val="0"/>
      </c:catAx>
      <c:valAx>
        <c:axId val="730844111"/>
        <c:scaling>
          <c:orientation val="minMax"/>
          <c:max val="1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0843631"/>
        <c:crosses val="autoZero"/>
        <c:crossBetween val="between"/>
      </c:valAx>
      <c:spPr>
        <a:noFill/>
        <a:ln>
          <a:solidFill>
            <a:schemeClr val="bg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1</xdr:row>
      <xdr:rowOff>53341</xdr:rowOff>
    </xdr:from>
    <xdr:to>
      <xdr:col>4</xdr:col>
      <xdr:colOff>807720</xdr:colOff>
      <xdr:row>7</xdr:row>
      <xdr:rowOff>38101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A152D660-FDCA-FA46-2CB5-BBD822917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820" y="144781"/>
          <a:ext cx="2926080" cy="12801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144780</xdr:colOff>
      <xdr:row>24</xdr:row>
      <xdr:rowOff>53340</xdr:rowOff>
    </xdr:from>
    <xdr:to>
      <xdr:col>5</xdr:col>
      <xdr:colOff>274320</xdr:colOff>
      <xdr:row>47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F45FD2A-0173-1A13-00A6-0129921597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182880</xdr:colOff>
      <xdr:row>24</xdr:row>
      <xdr:rowOff>22860</xdr:rowOff>
    </xdr:from>
    <xdr:to>
      <xdr:col>14</xdr:col>
      <xdr:colOff>30480</xdr:colOff>
      <xdr:row>47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3DDD512-076D-4675-B08B-5D7A62C1F7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15240</xdr:colOff>
      <xdr:row>80</xdr:row>
      <xdr:rowOff>76200</xdr:rowOff>
    </xdr:from>
    <xdr:to>
      <xdr:col>3</xdr:col>
      <xdr:colOff>1080060</xdr:colOff>
      <xdr:row>88</xdr:row>
      <xdr:rowOff>157320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E3E8CDF-0AF0-2095-18FB-0390D7150AF5}"/>
            </a:ext>
          </a:extLst>
        </xdr:cNvPr>
        <xdr:cNvSpPr/>
      </xdr:nvSpPr>
      <xdr:spPr>
        <a:xfrm>
          <a:off x="175260" y="14378940"/>
          <a:ext cx="4410000" cy="1483200"/>
        </a:xfrm>
        <a:prstGeom prst="rect">
          <a:avLst/>
        </a:prstGeom>
        <a:solidFill>
          <a:srgbClr val="FFF5D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n-US" sz="1100" kern="1200">
              <a:solidFill>
                <a:schemeClr val="tx1"/>
              </a:solidFill>
              <a:latin typeface="Arial" panose="020B0604020202020204" pitchFamily="34" charset="0"/>
              <a:cs typeface="Arial" panose="020B0604020202020204" pitchFamily="34" charset="0"/>
            </a:rPr>
            <a:t>At INR 1,065.2, Paytm trades at a 18% premium to DCF intrinsic value of INR 902.4 making entry point the critical varibable. The bull case of ₹1,574.3 implies ~47% upside, contingent on three catalysts: UPI MDR introduction, financial services scaling at 22.9% CAGR without credit quality deterioration, and EBITDA margins expanding toward 30%+ by FY35. Key risks are regulatory action on lending and UPI MDR delay. At current level it's a hold; on a dip to INR 950-1025, it becomes a conviction buy.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086F4-E1D8-4381-8543-D0A4FB7AFDD6}">
  <sheetPr codeName="Sheet1">
    <pageSetUpPr fitToPage="1"/>
  </sheetPr>
  <dimension ref="A1:Q21"/>
  <sheetViews>
    <sheetView showGridLines="0" workbookViewId="0">
      <selection activeCell="H16" sqref="H16"/>
    </sheetView>
  </sheetViews>
  <sheetFormatPr defaultColWidth="8.90625" defaultRowHeight="14" x14ac:dyDescent="0.3"/>
  <cols>
    <col min="1" max="1" width="2.36328125" style="3" customWidth="1"/>
    <col min="2" max="2" width="12" style="3" customWidth="1"/>
    <col min="3" max="4" width="8.90625" style="3"/>
    <col min="5" max="5" width="12.54296875" style="3" customWidth="1"/>
    <col min="6" max="10" width="8.90625" style="3"/>
    <col min="11" max="11" width="8.90625" style="3" customWidth="1"/>
    <col min="12" max="16384" width="8.90625" style="3"/>
  </cols>
  <sheetData>
    <row r="1" spans="1:17" ht="7.25" customHeight="1" x14ac:dyDescent="0.3">
      <c r="A1" s="1"/>
      <c r="B1" s="1"/>
      <c r="C1" s="1"/>
      <c r="D1" s="1"/>
      <c r="E1" s="1"/>
      <c r="F1" s="2"/>
      <c r="G1" s="2"/>
      <c r="H1" s="2"/>
      <c r="I1" s="2"/>
      <c r="J1" s="2"/>
      <c r="K1" s="2"/>
      <c r="L1" s="2"/>
    </row>
    <row r="2" spans="1:17" x14ac:dyDescent="0.3">
      <c r="A2" s="11"/>
      <c r="B2" s="11"/>
      <c r="C2" s="11"/>
      <c r="D2" s="11"/>
      <c r="E2" s="11"/>
    </row>
    <row r="3" spans="1:17" ht="27.65" customHeight="1" x14ac:dyDescent="0.3">
      <c r="A3" s="11"/>
      <c r="B3" s="11"/>
      <c r="C3" s="11"/>
      <c r="D3" s="11"/>
      <c r="E3" s="11"/>
    </row>
    <row r="4" spans="1:17" x14ac:dyDescent="0.3">
      <c r="A4" s="11"/>
      <c r="B4" s="11"/>
      <c r="C4" s="11"/>
      <c r="D4" s="11"/>
      <c r="E4" s="11"/>
    </row>
    <row r="5" spans="1:17" ht="20" x14ac:dyDescent="0.4">
      <c r="A5" s="11"/>
      <c r="B5" s="11"/>
      <c r="C5" s="11"/>
      <c r="D5" s="11"/>
      <c r="E5" s="11"/>
      <c r="G5" s="4" t="s">
        <v>0</v>
      </c>
    </row>
    <row r="6" spans="1:17" ht="20" x14ac:dyDescent="0.4">
      <c r="A6" s="11"/>
      <c r="B6" s="11"/>
      <c r="C6" s="11"/>
      <c r="D6" s="11"/>
      <c r="E6" s="11"/>
      <c r="G6" s="4" t="s">
        <v>1</v>
      </c>
    </row>
    <row r="7" spans="1:17" ht="5" customHeight="1" thickBot="1" x14ac:dyDescent="0.35">
      <c r="A7" s="11"/>
      <c r="B7" s="11"/>
      <c r="C7" s="11"/>
      <c r="D7" s="11"/>
      <c r="E7" s="11"/>
      <c r="G7" s="5"/>
      <c r="H7" s="5"/>
      <c r="I7" s="5"/>
      <c r="J7" s="5"/>
      <c r="K7" s="5"/>
    </row>
    <row r="8" spans="1:17" ht="20.399999999999999" customHeight="1" x14ac:dyDescent="0.3">
      <c r="A8" s="11"/>
      <c r="B8" s="12" t="s">
        <v>2</v>
      </c>
      <c r="C8" s="11"/>
      <c r="D8" s="11"/>
      <c r="E8" s="12" t="s">
        <v>3</v>
      </c>
      <c r="G8" s="6" t="s">
        <v>4</v>
      </c>
    </row>
    <row r="9" spans="1:17" ht="3.65" customHeight="1" x14ac:dyDescent="0.3">
      <c r="A9" s="11"/>
      <c r="B9" s="11"/>
      <c r="C9" s="11"/>
      <c r="D9" s="11"/>
      <c r="E9" s="11"/>
      <c r="G9" s="7"/>
      <c r="H9" s="7"/>
      <c r="I9" s="7"/>
      <c r="J9" s="7"/>
      <c r="K9" s="7"/>
    </row>
    <row r="10" spans="1:17" x14ac:dyDescent="0.3">
      <c r="A10" s="11"/>
      <c r="B10" s="13" t="s">
        <v>5</v>
      </c>
      <c r="C10" s="11"/>
      <c r="D10" s="11"/>
      <c r="E10" s="11"/>
      <c r="G10" s="8" t="s">
        <v>6</v>
      </c>
    </row>
    <row r="11" spans="1:17" x14ac:dyDescent="0.3">
      <c r="A11" s="11"/>
      <c r="B11" s="14" t="s">
        <v>7</v>
      </c>
      <c r="C11" s="11"/>
      <c r="D11" s="11"/>
      <c r="E11" s="11"/>
      <c r="G11" s="9" t="s">
        <v>8</v>
      </c>
      <c r="H11" s="9"/>
      <c r="I11" s="9"/>
      <c r="J11" s="9"/>
      <c r="K11" s="9"/>
    </row>
    <row r="12" spans="1:17" x14ac:dyDescent="0.3">
      <c r="A12" s="11"/>
      <c r="B12" s="15" t="s">
        <v>9</v>
      </c>
      <c r="C12" s="11"/>
      <c r="D12" s="11"/>
      <c r="E12" s="11"/>
      <c r="G12" s="8" t="s">
        <v>10</v>
      </c>
    </row>
    <row r="13" spans="1:17" ht="14.5" x14ac:dyDescent="0.35">
      <c r="A13" s="11"/>
      <c r="B13" s="11"/>
      <c r="C13" s="11"/>
      <c r="D13" s="11"/>
      <c r="E13" s="11"/>
      <c r="G13" s="9" t="s">
        <v>11</v>
      </c>
      <c r="H13" s="9"/>
      <c r="I13" s="9"/>
      <c r="J13" s="9"/>
      <c r="K13" s="9"/>
      <c r="O13"/>
    </row>
    <row r="14" spans="1:17" ht="29.4" customHeight="1" x14ac:dyDescent="0.3">
      <c r="A14" s="11"/>
      <c r="B14" s="11"/>
      <c r="C14" s="11"/>
      <c r="D14" s="11"/>
      <c r="E14" s="11"/>
    </row>
    <row r="15" spans="1:17" x14ac:dyDescent="0.3">
      <c r="A15" s="11"/>
      <c r="B15" s="11"/>
      <c r="C15" s="11"/>
      <c r="D15" s="11"/>
      <c r="E15" s="11"/>
    </row>
    <row r="16" spans="1:17" ht="14.5" x14ac:dyDescent="0.35">
      <c r="A16" s="11"/>
      <c r="B16" s="16" t="s">
        <v>12</v>
      </c>
      <c r="C16" s="11"/>
      <c r="D16" s="11"/>
      <c r="E16" s="11"/>
      <c r="Q16"/>
    </row>
    <row r="17" spans="1:12" x14ac:dyDescent="0.3">
      <c r="A17" s="11"/>
      <c r="B17" s="17" t="s">
        <v>13</v>
      </c>
      <c r="C17" s="11"/>
      <c r="D17" s="11"/>
      <c r="E17" s="11"/>
    </row>
    <row r="18" spans="1:12" x14ac:dyDescent="0.3">
      <c r="A18" s="11"/>
      <c r="B18" s="15" t="s">
        <v>14</v>
      </c>
      <c r="C18" s="11"/>
      <c r="D18" s="11"/>
      <c r="E18" s="11"/>
      <c r="G18" s="10" t="s">
        <v>15</v>
      </c>
    </row>
    <row r="19" spans="1:12" x14ac:dyDescent="0.3">
      <c r="A19" s="11"/>
      <c r="B19" s="11"/>
      <c r="C19" s="11"/>
      <c r="D19" s="11"/>
      <c r="E19" s="11"/>
    </row>
    <row r="20" spans="1:12" x14ac:dyDescent="0.3">
      <c r="A20" s="11"/>
      <c r="B20" s="11"/>
      <c r="C20" s="11"/>
      <c r="D20" s="11"/>
      <c r="E20" s="11"/>
    </row>
    <row r="21" spans="1:12" ht="7.25" customHeight="1" x14ac:dyDescent="0.3">
      <c r="A21" s="1"/>
      <c r="B21" s="1"/>
      <c r="C21" s="1"/>
      <c r="D21" s="1"/>
      <c r="E21" s="1"/>
      <c r="F21" s="2"/>
      <c r="G21" s="2"/>
      <c r="H21" s="2"/>
      <c r="I21" s="2"/>
      <c r="J21" s="2"/>
      <c r="K21" s="2"/>
      <c r="L21" s="2"/>
    </row>
  </sheetData>
  <printOptions horizontalCentered="1" verticalCentered="1"/>
  <pageMargins left="0.11811023622047245" right="0" top="0.35433070866141736" bottom="0.19685039370078741" header="0" footer="0"/>
  <pageSetup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7405EC-E9DF-4553-9898-197DBA2781F3}">
  <sheetPr codeName="Sheet11"/>
  <dimension ref="A1:AI290"/>
  <sheetViews>
    <sheetView workbookViewId="0"/>
  </sheetViews>
  <sheetFormatPr defaultRowHeight="14.5" x14ac:dyDescent="0.35"/>
  <cols>
    <col min="1" max="1" width="50.90625" bestFit="1" customWidth="1"/>
    <col min="2" max="2" width="14" bestFit="1" customWidth="1"/>
    <col min="3" max="3" width="23.08984375" bestFit="1" customWidth="1"/>
    <col min="4" max="4" width="21.36328125" bestFit="1" customWidth="1"/>
    <col min="5" max="5" width="19.54296875" bestFit="1" customWidth="1"/>
    <col min="6" max="6" width="15.6328125" bestFit="1" customWidth="1"/>
    <col min="7" max="7" width="34.54296875" bestFit="1" customWidth="1"/>
    <col min="8" max="8" width="30" bestFit="1" customWidth="1"/>
    <col min="9" max="9" width="12" bestFit="1" customWidth="1"/>
    <col min="10" max="10" width="10.08984375" bestFit="1" customWidth="1"/>
    <col min="11" max="11" width="11.08984375" bestFit="1" customWidth="1"/>
    <col min="12" max="12" width="12" bestFit="1" customWidth="1"/>
    <col min="13" max="13" width="11.08984375" bestFit="1" customWidth="1"/>
    <col min="14" max="14" width="12" bestFit="1" customWidth="1"/>
    <col min="15" max="16" width="10.08984375" bestFit="1" customWidth="1"/>
    <col min="19" max="19" width="24.1796875" bestFit="1" customWidth="1"/>
    <col min="27" max="27" width="13.1796875" bestFit="1" customWidth="1"/>
    <col min="29" max="29" width="9.90625" bestFit="1" customWidth="1"/>
    <col min="30" max="30" width="18.1796875" bestFit="1" customWidth="1"/>
    <col min="31" max="31" width="22.08984375" bestFit="1" customWidth="1"/>
    <col min="32" max="32" width="24.1796875" bestFit="1" customWidth="1"/>
  </cols>
  <sheetData>
    <row r="1" spans="1:35" x14ac:dyDescent="0.35">
      <c r="A1" t="s">
        <v>226</v>
      </c>
      <c r="B1" t="s">
        <v>227</v>
      </c>
      <c r="E1" t="s">
        <v>228</v>
      </c>
      <c r="F1" t="s">
        <v>26</v>
      </c>
      <c r="H1" t="s">
        <v>229</v>
      </c>
      <c r="I1" t="s">
        <v>227</v>
      </c>
      <c r="S1" t="s">
        <v>648</v>
      </c>
      <c r="V1" t="s">
        <v>660</v>
      </c>
      <c r="AA1" s="187">
        <f>V9/AA2</f>
        <v>0.15126221498371337</v>
      </c>
      <c r="AC1" t="s">
        <v>858</v>
      </c>
      <c r="AD1" t="s">
        <v>857</v>
      </c>
      <c r="AE1" t="s">
        <v>788</v>
      </c>
      <c r="AF1" t="s">
        <v>161</v>
      </c>
    </row>
    <row r="2" spans="1:35" x14ac:dyDescent="0.35">
      <c r="A2" s="23">
        <v>45717</v>
      </c>
      <c r="B2" s="24">
        <v>3800000</v>
      </c>
      <c r="C2" s="24"/>
      <c r="E2" s="23">
        <v>45627</v>
      </c>
      <c r="F2" s="25">
        <v>11.7</v>
      </c>
      <c r="H2" s="23">
        <v>45627</v>
      </c>
      <c r="I2" s="24">
        <v>5000000</v>
      </c>
      <c r="S2" t="s">
        <v>22</v>
      </c>
      <c r="T2">
        <v>1265</v>
      </c>
      <c r="V2">
        <v>4646</v>
      </c>
      <c r="X2">
        <f>T2/650000</f>
        <v>1.9461538461538462E-3</v>
      </c>
      <c r="Y2" s="28">
        <f>SUM(AE4,AE8,AE13,AE18)</f>
        <v>3525</v>
      </c>
      <c r="Z2" s="28">
        <f>V2-Y2</f>
        <v>1121</v>
      </c>
      <c r="AA2" s="28">
        <f>SUM(Z2,V3:V5)</f>
        <v>4912</v>
      </c>
      <c r="AC2">
        <v>650000</v>
      </c>
      <c r="AD2">
        <v>583</v>
      </c>
      <c r="AE2">
        <f>AD2+AF2</f>
        <v>1275</v>
      </c>
      <c r="AF2">
        <v>692</v>
      </c>
    </row>
    <row r="3" spans="1:35" x14ac:dyDescent="0.35">
      <c r="A3" s="23">
        <v>45809</v>
      </c>
      <c r="B3" s="24">
        <v>4000000</v>
      </c>
      <c r="C3" s="24"/>
      <c r="D3">
        <f>F3/F2</f>
        <v>1.0598290598290598</v>
      </c>
      <c r="E3" s="23">
        <v>45717</v>
      </c>
      <c r="F3" s="25">
        <v>12.4</v>
      </c>
      <c r="G3" s="50"/>
      <c r="H3" s="23">
        <v>45717</v>
      </c>
      <c r="I3" s="24">
        <v>5100000</v>
      </c>
      <c r="J3" s="32">
        <f>I3/I2</f>
        <v>1.02</v>
      </c>
      <c r="M3" s="32"/>
      <c r="S3" t="s">
        <v>649</v>
      </c>
      <c r="T3">
        <v>750</v>
      </c>
      <c r="V3">
        <v>2594</v>
      </c>
      <c r="AC3" s="32">
        <v>4.0000000000000002E-4</v>
      </c>
    </row>
    <row r="4" spans="1:35" x14ac:dyDescent="0.35">
      <c r="A4" s="23">
        <v>45901</v>
      </c>
      <c r="B4" s="24">
        <v>4300000</v>
      </c>
      <c r="C4" s="24"/>
      <c r="D4">
        <f>F4/F3</f>
        <v>1.0483870967741935</v>
      </c>
      <c r="E4" s="23">
        <v>45809</v>
      </c>
      <c r="F4" s="25">
        <v>13</v>
      </c>
      <c r="G4" s="50"/>
      <c r="H4" s="23">
        <v>45809</v>
      </c>
      <c r="I4" s="24">
        <v>5400000</v>
      </c>
      <c r="J4" s="32">
        <f>I4/I3</f>
        <v>1.0588235294117647</v>
      </c>
      <c r="K4" s="24">
        <f>SUM(J17,J20)*10</f>
        <v>8100</v>
      </c>
      <c r="L4">
        <f>K4/I4</f>
        <v>1.5E-3</v>
      </c>
      <c r="M4" s="32"/>
      <c r="N4" s="24"/>
      <c r="S4" t="s">
        <v>650</v>
      </c>
      <c r="T4">
        <v>239</v>
      </c>
      <c r="V4">
        <v>952</v>
      </c>
      <c r="Z4">
        <f>SUM(V2:V5)-AA2</f>
        <v>3525</v>
      </c>
      <c r="AA4" s="42"/>
      <c r="AC4">
        <f>AC3*AC2</f>
        <v>260</v>
      </c>
      <c r="AD4" t="s">
        <v>859</v>
      </c>
      <c r="AE4">
        <f>AF2+AC4</f>
        <v>952</v>
      </c>
      <c r="AF4" s="42">
        <f>AE4/AC2</f>
        <v>1.4646153846153845E-3</v>
      </c>
      <c r="AH4">
        <f>AE4/SUM(AE4:AE5)</f>
        <v>0.7466666666666667</v>
      </c>
    </row>
    <row r="5" spans="1:35" x14ac:dyDescent="0.35">
      <c r="A5" s="23">
        <v>45992</v>
      </c>
      <c r="B5" s="24">
        <v>5100000</v>
      </c>
      <c r="C5" s="24"/>
      <c r="D5">
        <f>F5/F4</f>
        <v>1.0538461538461539</v>
      </c>
      <c r="E5" s="23">
        <v>45901</v>
      </c>
      <c r="F5" s="25">
        <v>13.7</v>
      </c>
      <c r="G5" s="50"/>
      <c r="H5" s="23">
        <v>45901</v>
      </c>
      <c r="I5" s="24">
        <v>5700000</v>
      </c>
      <c r="J5" s="32">
        <f>I5/I4</f>
        <v>1.0555555555555556</v>
      </c>
      <c r="K5" s="24">
        <f>SUM(I17,I20)*10</f>
        <v>8994</v>
      </c>
      <c r="L5">
        <f>K5/I5</f>
        <v>1.5778947368421052E-3</v>
      </c>
      <c r="M5" s="32"/>
      <c r="S5" t="s">
        <v>295</v>
      </c>
      <c r="T5">
        <v>10</v>
      </c>
      <c r="V5">
        <v>245</v>
      </c>
      <c r="AE5">
        <f>AE2-AE4</f>
        <v>323</v>
      </c>
      <c r="AF5">
        <f>AE5/(1.51*3)</f>
        <v>71.302428256070641</v>
      </c>
    </row>
    <row r="6" spans="1:35" x14ac:dyDescent="0.35">
      <c r="D6">
        <f>F6/F5</f>
        <v>1.051094890510949</v>
      </c>
      <c r="E6" s="23">
        <v>45992</v>
      </c>
      <c r="F6" s="25">
        <v>14.4</v>
      </c>
      <c r="G6" s="50"/>
      <c r="H6" s="23">
        <v>45992</v>
      </c>
      <c r="I6" s="24">
        <v>6200000</v>
      </c>
      <c r="J6" s="32">
        <f>I6/I5</f>
        <v>1.0877192982456141</v>
      </c>
      <c r="K6" s="24">
        <f>SUM(I10,I13)*10</f>
        <v>9328</v>
      </c>
      <c r="L6">
        <f>K6/I6</f>
        <v>1.504516129032258E-3</v>
      </c>
      <c r="M6" s="32"/>
      <c r="AC6" s="18">
        <v>620000</v>
      </c>
      <c r="AH6" s="28"/>
      <c r="AI6">
        <v>67.036626934252851</v>
      </c>
    </row>
    <row r="7" spans="1:35" x14ac:dyDescent="0.35">
      <c r="D7">
        <f>AVERAGE(D3:D6)</f>
        <v>1.0532893002400892</v>
      </c>
      <c r="E7" s="23"/>
      <c r="F7" s="25">
        <f>F6*(D7)</f>
        <v>15.167365923457284</v>
      </c>
      <c r="G7" s="50"/>
      <c r="H7" s="23">
        <v>46082</v>
      </c>
      <c r="I7" s="24">
        <v>6500000</v>
      </c>
      <c r="J7" s="32">
        <f>I7/I6</f>
        <v>1.0483870967741935</v>
      </c>
      <c r="K7" s="28">
        <f>I7*L7</f>
        <v>9928.5568760611204</v>
      </c>
      <c r="L7">
        <f>AVERAGE(L4:L6)</f>
        <v>1.5274702886247877E-3</v>
      </c>
      <c r="N7" s="28">
        <f>SUM(I4:I7)/1000000</f>
        <v>23.8</v>
      </c>
      <c r="O7" s="62">
        <f>N7/117.2</f>
        <v>0.2030716723549488</v>
      </c>
      <c r="S7" t="s">
        <v>161</v>
      </c>
      <c r="T7">
        <v>692</v>
      </c>
      <c r="U7" s="42"/>
      <c r="V7">
        <v>2573</v>
      </c>
      <c r="W7" s="42"/>
      <c r="X7" s="42">
        <f>V7/SUM(I4:I7)</f>
        <v>1.0810924369747899E-4</v>
      </c>
      <c r="AC7" s="32">
        <v>4.0000000000000002E-4</v>
      </c>
    </row>
    <row r="8" spans="1:35" x14ac:dyDescent="0.35">
      <c r="A8" s="23" t="s">
        <v>230</v>
      </c>
      <c r="B8" s="24"/>
      <c r="E8" t="s">
        <v>231</v>
      </c>
      <c r="F8" t="s">
        <v>26</v>
      </c>
      <c r="H8" t="s">
        <v>232</v>
      </c>
      <c r="I8" s="23">
        <v>45992</v>
      </c>
      <c r="J8" s="32"/>
      <c r="K8" s="24"/>
      <c r="S8" t="s">
        <v>651</v>
      </c>
      <c r="T8">
        <v>104</v>
      </c>
      <c r="V8">
        <v>261</v>
      </c>
      <c r="AC8" s="28">
        <f>AC6*AC7</f>
        <v>248</v>
      </c>
      <c r="AD8" t="s">
        <v>859</v>
      </c>
      <c r="AE8" s="28">
        <f>AC8+671</f>
        <v>919</v>
      </c>
      <c r="AF8" s="42">
        <f>AE8/AC6</f>
        <v>1.482258064516129E-3</v>
      </c>
      <c r="AH8">
        <f>AE8/SUM(AE8:AE9)</f>
        <v>0.77097315436241609</v>
      </c>
    </row>
    <row r="9" spans="1:35" x14ac:dyDescent="0.35">
      <c r="A9" t="s">
        <v>233</v>
      </c>
      <c r="B9">
        <v>234859</v>
      </c>
      <c r="C9" s="24"/>
      <c r="E9" s="23">
        <v>45717</v>
      </c>
      <c r="F9" s="26">
        <v>5080</v>
      </c>
      <c r="G9">
        <f>0.25*66+0.75*60</f>
        <v>61.5</v>
      </c>
      <c r="H9" s="18"/>
      <c r="I9" s="18">
        <v>1192</v>
      </c>
      <c r="J9" s="18"/>
      <c r="K9" s="18"/>
      <c r="L9" s="18"/>
      <c r="M9" s="18"/>
      <c r="N9" s="18"/>
      <c r="S9" t="s">
        <v>301</v>
      </c>
      <c r="T9">
        <v>214</v>
      </c>
      <c r="V9">
        <v>743</v>
      </c>
      <c r="X9" s="29"/>
      <c r="AE9" s="28">
        <f>1192-AE8</f>
        <v>273</v>
      </c>
      <c r="AF9" s="28">
        <f>AE9/(1.44*3)</f>
        <v>63.194444444444443</v>
      </c>
    </row>
    <row r="10" spans="1:35" x14ac:dyDescent="0.35">
      <c r="A10" t="s">
        <v>234</v>
      </c>
      <c r="B10">
        <v>1135200</v>
      </c>
      <c r="C10" s="24"/>
      <c r="E10" s="23">
        <v>45809</v>
      </c>
      <c r="F10" s="26">
        <v>5290</v>
      </c>
      <c r="G10" s="32"/>
      <c r="H10" s="18">
        <v>620000</v>
      </c>
      <c r="I10" s="18">
        <v>613</v>
      </c>
      <c r="J10" s="18" t="s">
        <v>235</v>
      </c>
      <c r="K10" s="18"/>
      <c r="L10" s="18"/>
      <c r="M10" s="18"/>
      <c r="N10" s="27">
        <f>I10/$I$9</f>
        <v>0.51426174496644295</v>
      </c>
      <c r="S10" t="s">
        <v>652</v>
      </c>
      <c r="T10">
        <f>SUM(T7:T9)</f>
        <v>1010</v>
      </c>
      <c r="V10">
        <f>SUM(V7:V9)</f>
        <v>3577</v>
      </c>
      <c r="X10">
        <v>1265</v>
      </c>
    </row>
    <row r="11" spans="1:35" x14ac:dyDescent="0.35">
      <c r="A11" t="s">
        <v>236</v>
      </c>
      <c r="B11" t="s">
        <v>237</v>
      </c>
      <c r="C11" s="24"/>
      <c r="E11" s="23">
        <v>45901</v>
      </c>
      <c r="F11" s="26">
        <v>5940</v>
      </c>
      <c r="H11" s="18"/>
      <c r="I11" s="18">
        <f>1.44*60*3</f>
        <v>259.2</v>
      </c>
      <c r="J11" s="18" t="s">
        <v>238</v>
      </c>
      <c r="K11" s="18"/>
      <c r="L11" s="18"/>
      <c r="M11" s="18"/>
      <c r="N11" s="27">
        <f>I11/$I$9</f>
        <v>0.2174496644295302</v>
      </c>
      <c r="P11" s="28">
        <f>I11/1.44/3</f>
        <v>60</v>
      </c>
      <c r="Q11" t="s">
        <v>239</v>
      </c>
      <c r="X11">
        <v>883</v>
      </c>
      <c r="Y11" t="s">
        <v>673</v>
      </c>
      <c r="AC11">
        <v>570000</v>
      </c>
    </row>
    <row r="12" spans="1:35" x14ac:dyDescent="0.35">
      <c r="A12" t="s">
        <v>240</v>
      </c>
      <c r="B12" t="s">
        <v>241</v>
      </c>
      <c r="C12" s="24"/>
      <c r="D12" t="s">
        <v>242</v>
      </c>
      <c r="E12" s="23">
        <v>45992</v>
      </c>
      <c r="F12" s="26">
        <v>6130</v>
      </c>
      <c r="G12" s="29"/>
      <c r="H12" s="60"/>
      <c r="I12" s="18"/>
      <c r="J12" s="18"/>
      <c r="K12" s="18"/>
      <c r="L12" s="18"/>
      <c r="M12" s="18"/>
      <c r="N12" s="27"/>
      <c r="S12" t="s">
        <v>104</v>
      </c>
      <c r="T12">
        <v>65</v>
      </c>
      <c r="V12">
        <v>275</v>
      </c>
      <c r="X12">
        <f>X10-X11</f>
        <v>382</v>
      </c>
      <c r="AC12" s="32">
        <v>4.0000000000000002E-4</v>
      </c>
    </row>
    <row r="13" spans="1:35" x14ac:dyDescent="0.35">
      <c r="A13" t="s">
        <v>243</v>
      </c>
      <c r="B13" t="s">
        <v>244</v>
      </c>
      <c r="C13" s="24"/>
      <c r="D13" t="s">
        <v>242</v>
      </c>
      <c r="F13" s="26">
        <f>SUM(F9:F12)</f>
        <v>22440</v>
      </c>
      <c r="H13" s="18"/>
      <c r="I13" s="18">
        <f>I9-I10-I11-I12</f>
        <v>319.8</v>
      </c>
      <c r="J13" s="18" t="s">
        <v>245</v>
      </c>
      <c r="K13" s="18"/>
      <c r="L13" s="18"/>
      <c r="M13" s="18"/>
      <c r="N13" s="27">
        <f>I13/$I$9</f>
        <v>0.26828859060402688</v>
      </c>
      <c r="S13" t="s">
        <v>653</v>
      </c>
      <c r="T13">
        <v>739</v>
      </c>
      <c r="V13">
        <v>2765</v>
      </c>
      <c r="X13">
        <f>V13*55%</f>
        <v>1520.7500000000002</v>
      </c>
      <c r="Y13">
        <f>V13*45%</f>
        <v>1244.25</v>
      </c>
      <c r="AC13" s="28">
        <f>AC11*AC12</f>
        <v>228</v>
      </c>
      <c r="AD13" t="s">
        <v>859</v>
      </c>
      <c r="AE13" s="28">
        <f>AC13+629</f>
        <v>857</v>
      </c>
      <c r="AF13" s="42">
        <f>AE13/AC11</f>
        <v>1.5035087719298245E-3</v>
      </c>
      <c r="AH13">
        <f>AE13/SUM(AE13:AE14)</f>
        <v>0.74781849912739962</v>
      </c>
    </row>
    <row r="14" spans="1:35" x14ac:dyDescent="0.35">
      <c r="A14" t="s">
        <v>246</v>
      </c>
      <c r="B14" t="s">
        <v>247</v>
      </c>
      <c r="C14" s="24"/>
      <c r="D14" t="s">
        <v>248</v>
      </c>
      <c r="S14" t="s">
        <v>654</v>
      </c>
      <c r="T14">
        <v>175</v>
      </c>
      <c r="V14">
        <v>643</v>
      </c>
      <c r="X14">
        <f>X13*(1.125)^9</f>
        <v>4389.6563995387414</v>
      </c>
      <c r="Y14">
        <f>14%*35000</f>
        <v>4900.0000000000009</v>
      </c>
      <c r="AE14" s="28">
        <f>1146-AE13</f>
        <v>289</v>
      </c>
      <c r="AF14" s="28">
        <f>AE14/(1.37*3)</f>
        <v>70.316301703163006</v>
      </c>
    </row>
    <row r="15" spans="1:35" x14ac:dyDescent="0.35">
      <c r="A15" t="s">
        <v>249</v>
      </c>
      <c r="B15" t="s">
        <v>250</v>
      </c>
      <c r="C15" s="24"/>
      <c r="I15" s="23"/>
      <c r="S15" t="s">
        <v>655</v>
      </c>
      <c r="T15">
        <v>143</v>
      </c>
      <c r="V15">
        <v>675</v>
      </c>
      <c r="X15" s="28"/>
    </row>
    <row r="16" spans="1:35" x14ac:dyDescent="0.35">
      <c r="A16" t="s">
        <v>251</v>
      </c>
      <c r="B16">
        <v>53200</v>
      </c>
      <c r="C16" s="24"/>
      <c r="E16" t="s">
        <v>288</v>
      </c>
      <c r="F16" t="s">
        <v>588</v>
      </c>
      <c r="G16">
        <v>24370</v>
      </c>
      <c r="I16">
        <v>1146</v>
      </c>
      <c r="J16">
        <v>1044</v>
      </c>
      <c r="S16" t="s">
        <v>656</v>
      </c>
      <c r="T16">
        <f>SUM(T12:T15)</f>
        <v>1122</v>
      </c>
      <c r="V16">
        <f>SUM(V12:V15)</f>
        <v>4358</v>
      </c>
      <c r="AC16">
        <v>540000</v>
      </c>
    </row>
    <row r="17" spans="1:34" x14ac:dyDescent="0.35">
      <c r="A17" t="s">
        <v>252</v>
      </c>
      <c r="B17">
        <v>224400</v>
      </c>
      <c r="C17" s="24"/>
      <c r="H17" s="18">
        <v>583</v>
      </c>
      <c r="I17" s="18">
        <v>594</v>
      </c>
      <c r="J17" s="18">
        <v>529</v>
      </c>
      <c r="K17" s="18" t="s">
        <v>235</v>
      </c>
      <c r="N17" s="27"/>
      <c r="AC17" s="32">
        <v>4.0000000000000002E-4</v>
      </c>
    </row>
    <row r="18" spans="1:34" x14ac:dyDescent="0.35">
      <c r="A18" t="s">
        <v>253</v>
      </c>
      <c r="B18" t="s">
        <v>254</v>
      </c>
      <c r="C18" s="24"/>
      <c r="I18" s="18"/>
      <c r="J18" s="18"/>
      <c r="N18" s="27"/>
      <c r="P18" s="28"/>
      <c r="S18" t="s">
        <v>657</v>
      </c>
      <c r="T18">
        <v>5</v>
      </c>
      <c r="V18">
        <v>18</v>
      </c>
      <c r="AC18" s="28">
        <f>AC16*AC17</f>
        <v>216</v>
      </c>
      <c r="AD18" t="s">
        <v>859</v>
      </c>
      <c r="AE18" s="28">
        <f>AC18+581</f>
        <v>797</v>
      </c>
      <c r="AF18" s="42">
        <f>AE18/AC16</f>
        <v>1.4759259259259259E-3</v>
      </c>
      <c r="AH18">
        <f>AE18/SUM(AE18:AE19)</f>
        <v>0.76340996168582376</v>
      </c>
    </row>
    <row r="19" spans="1:34" x14ac:dyDescent="0.35">
      <c r="A19" t="s">
        <v>255</v>
      </c>
      <c r="B19" s="32">
        <v>0.29499999999999998</v>
      </c>
      <c r="C19" s="24"/>
      <c r="I19" s="18">
        <f>1.37*3*60</f>
        <v>246.60000000000002</v>
      </c>
      <c r="J19" s="18">
        <f>1.3*3*60</f>
        <v>234.00000000000003</v>
      </c>
      <c r="K19" s="18" t="s">
        <v>238</v>
      </c>
      <c r="N19" s="27"/>
      <c r="S19" t="s">
        <v>307</v>
      </c>
      <c r="T19">
        <v>132</v>
      </c>
      <c r="V19">
        <v>568</v>
      </c>
      <c r="AE19" s="28">
        <f>1044-AE18</f>
        <v>247</v>
      </c>
      <c r="AF19" s="28">
        <f>AE19/(1.3*3)</f>
        <v>63.333333333333329</v>
      </c>
    </row>
    <row r="20" spans="1:34" x14ac:dyDescent="0.35">
      <c r="A20" t="s">
        <v>256</v>
      </c>
      <c r="B20" s="33">
        <v>0.66</v>
      </c>
      <c r="C20" s="24"/>
      <c r="G20">
        <f>SUM(G25:G36)*10</f>
        <v>90930291.400000006</v>
      </c>
      <c r="I20" s="18">
        <f>I16-I17-I18-I19</f>
        <v>305.39999999999998</v>
      </c>
      <c r="J20" s="18">
        <f>J16-J17-J18-J19</f>
        <v>281</v>
      </c>
      <c r="K20" s="18" t="s">
        <v>245</v>
      </c>
      <c r="N20" s="27"/>
    </row>
    <row r="21" spans="1:34" x14ac:dyDescent="0.35">
      <c r="I21" s="28">
        <f>I20/I16</f>
        <v>0.2664921465968586</v>
      </c>
      <c r="J21" s="28">
        <f>J20/J16</f>
        <v>0.26915708812260536</v>
      </c>
      <c r="S21" t="s">
        <v>356</v>
      </c>
      <c r="T21">
        <v>178</v>
      </c>
      <c r="V21">
        <v>854</v>
      </c>
    </row>
    <row r="22" spans="1:34" x14ac:dyDescent="0.35">
      <c r="I22" s="23"/>
    </row>
    <row r="23" spans="1:34" x14ac:dyDescent="0.35">
      <c r="A23" t="s">
        <v>257</v>
      </c>
      <c r="B23" s="357" t="s">
        <v>258</v>
      </c>
      <c r="C23" s="357"/>
      <c r="D23" s="357" t="s">
        <v>259</v>
      </c>
      <c r="E23" s="357"/>
      <c r="F23" s="357" t="s">
        <v>260</v>
      </c>
      <c r="G23" s="357"/>
      <c r="S23" t="s">
        <v>658</v>
      </c>
      <c r="T23">
        <v>11</v>
      </c>
      <c r="V23">
        <v>30</v>
      </c>
    </row>
    <row r="24" spans="1:34" x14ac:dyDescent="0.35">
      <c r="A24" t="s">
        <v>261</v>
      </c>
      <c r="B24" t="s">
        <v>262</v>
      </c>
      <c r="C24" t="s">
        <v>263</v>
      </c>
      <c r="D24" t="s">
        <v>262</v>
      </c>
      <c r="E24" t="s">
        <v>263</v>
      </c>
      <c r="F24" t="s">
        <v>262</v>
      </c>
      <c r="G24" t="s">
        <v>263</v>
      </c>
      <c r="H24" s="18" t="s">
        <v>264</v>
      </c>
      <c r="I24" s="27" t="s">
        <v>647</v>
      </c>
      <c r="J24" s="18"/>
      <c r="K24" t="s">
        <v>265</v>
      </c>
      <c r="L24" t="s">
        <v>260</v>
      </c>
      <c r="N24" s="27"/>
    </row>
    <row r="25" spans="1:34" x14ac:dyDescent="0.35">
      <c r="A25" s="37">
        <v>46082</v>
      </c>
      <c r="B25" s="38">
        <v>22641.11</v>
      </c>
      <c r="C25" s="38">
        <v>2952542.05</v>
      </c>
      <c r="D25" s="38">
        <v>8460.65</v>
      </c>
      <c r="E25" s="38">
        <v>2091059</v>
      </c>
      <c r="F25" s="38">
        <v>14180.46</v>
      </c>
      <c r="G25" s="38">
        <v>861483.05</v>
      </c>
      <c r="H25" s="33">
        <v>0.69</v>
      </c>
      <c r="I25" s="40">
        <f>J25*C25</f>
        <v>191915.23324999999</v>
      </c>
      <c r="J25" s="31">
        <v>6.5000000000000002E-2</v>
      </c>
      <c r="K25" s="32">
        <f>G25/C25</f>
        <v>0.29177672507661662</v>
      </c>
      <c r="L25">
        <f>I25*K25</f>
        <v>55996.398249999998</v>
      </c>
      <c r="M25">
        <v>1889237</v>
      </c>
      <c r="N25" s="27">
        <f>-Schedules!J89</f>
        <v>-25751.760624000002</v>
      </c>
      <c r="P25" s="28"/>
      <c r="S25" t="s">
        <v>659</v>
      </c>
      <c r="T25">
        <v>21</v>
      </c>
      <c r="V25">
        <v>-186</v>
      </c>
    </row>
    <row r="26" spans="1:34" x14ac:dyDescent="0.35">
      <c r="A26" s="37">
        <v>46054</v>
      </c>
      <c r="B26" s="38">
        <v>20394.18</v>
      </c>
      <c r="C26" s="38">
        <v>2684229.29</v>
      </c>
      <c r="D26" s="38">
        <v>7598.4</v>
      </c>
      <c r="E26" s="38">
        <v>1911812.35</v>
      </c>
      <c r="F26" s="38">
        <v>12795.78</v>
      </c>
      <c r="G26" s="38">
        <v>772416.94</v>
      </c>
      <c r="H26" s="33">
        <v>0.68</v>
      </c>
      <c r="I26" s="40">
        <v>174128.86</v>
      </c>
      <c r="J26" s="41">
        <f>I26/C26</f>
        <v>6.4871082604124317E-2</v>
      </c>
      <c r="K26" s="32">
        <f t="shared" ref="K26:K39" si="0">G26/C26</f>
        <v>0.28776116216211917</v>
      </c>
      <c r="L26">
        <f t="shared" ref="L26:L39" si="1">I26*K26</f>
        <v>50107.523119564939</v>
      </c>
      <c r="N26" s="27">
        <f t="shared" ref="N26:N37" si="2">I26/G26</f>
        <v>0.22543376638011073</v>
      </c>
    </row>
    <row r="27" spans="1:34" x14ac:dyDescent="0.35">
      <c r="A27" s="37">
        <v>46023</v>
      </c>
      <c r="B27" s="38">
        <v>21703.439999999999</v>
      </c>
      <c r="C27" s="38">
        <v>2833481.22</v>
      </c>
      <c r="D27" s="38">
        <v>8095.35</v>
      </c>
      <c r="E27" s="38">
        <v>1992655.39</v>
      </c>
      <c r="F27" s="38">
        <v>13608.1</v>
      </c>
      <c r="G27" s="38">
        <v>840825.83</v>
      </c>
      <c r="H27" s="33">
        <v>0.68</v>
      </c>
      <c r="I27" s="40">
        <v>181973.34</v>
      </c>
      <c r="J27" s="41">
        <f>I27/C27</f>
        <v>6.4222532591904732E-2</v>
      </c>
      <c r="K27" s="32">
        <f t="shared" si="0"/>
        <v>0.29674656887261808</v>
      </c>
      <c r="L27">
        <f t="shared" si="1"/>
        <v>53999.964271290344</v>
      </c>
      <c r="N27" s="27">
        <f t="shared" si="2"/>
        <v>0.2164221572498552</v>
      </c>
    </row>
    <row r="28" spans="1:34" x14ac:dyDescent="0.35">
      <c r="A28" s="37">
        <v>45992</v>
      </c>
      <c r="B28" s="38">
        <v>21634.67</v>
      </c>
      <c r="C28" s="38">
        <v>2796712.73</v>
      </c>
      <c r="D28" s="38">
        <v>8152.29</v>
      </c>
      <c r="E28" s="38">
        <v>1989139.74</v>
      </c>
      <c r="F28" s="38">
        <v>13482.38</v>
      </c>
      <c r="G28" s="38">
        <v>807572.99</v>
      </c>
      <c r="H28" s="33">
        <v>0.67</v>
      </c>
      <c r="I28" s="40">
        <v>175716.1</v>
      </c>
      <c r="J28" s="41">
        <f>I28/C28</f>
        <v>6.2829513419492319E-2</v>
      </c>
      <c r="K28" s="32">
        <f t="shared" si="0"/>
        <v>0.28875793403350369</v>
      </c>
      <c r="L28">
        <f t="shared" si="1"/>
        <v>50739.418012424539</v>
      </c>
      <c r="N28" s="27">
        <f t="shared" si="2"/>
        <v>0.21758540983397676</v>
      </c>
    </row>
    <row r="29" spans="1:34" x14ac:dyDescent="0.35">
      <c r="A29" s="37">
        <v>45962</v>
      </c>
      <c r="B29" s="38">
        <v>20466.98</v>
      </c>
      <c r="C29" s="38">
        <v>2631632.63</v>
      </c>
      <c r="D29" s="38">
        <v>7626.49</v>
      </c>
      <c r="E29" s="38">
        <v>1867080.57</v>
      </c>
      <c r="F29" s="38">
        <v>12840.49</v>
      </c>
      <c r="G29" s="38">
        <v>764552.06</v>
      </c>
      <c r="H29" s="33">
        <v>0.68</v>
      </c>
      <c r="I29" s="40">
        <v>163210.19</v>
      </c>
      <c r="J29" s="41">
        <f>I29/C29</f>
        <v>6.2018607057627191E-2</v>
      </c>
      <c r="K29" s="32">
        <f t="shared" si="0"/>
        <v>0.2905238562876461</v>
      </c>
      <c r="L29">
        <f t="shared" si="1"/>
        <v>47416.453784239413</v>
      </c>
      <c r="N29" s="27">
        <f t="shared" si="2"/>
        <v>0.21347165031508775</v>
      </c>
    </row>
    <row r="30" spans="1:34" x14ac:dyDescent="0.35">
      <c r="A30" s="37">
        <v>45931</v>
      </c>
      <c r="B30" s="38">
        <v>20700.919999999998</v>
      </c>
      <c r="C30" s="38">
        <v>2727790.68</v>
      </c>
      <c r="D30" s="38">
        <v>7673.36</v>
      </c>
      <c r="E30" s="38">
        <v>1902048.48</v>
      </c>
      <c r="F30" s="38">
        <v>13027.56</v>
      </c>
      <c r="G30" s="38">
        <v>825742.2</v>
      </c>
      <c r="H30" s="33">
        <v>0.68</v>
      </c>
      <c r="I30" s="40">
        <v>166629.1</v>
      </c>
      <c r="J30" s="41">
        <f>I30/C30</f>
        <v>6.1085735508121908E-2</v>
      </c>
      <c r="K30" s="32">
        <f t="shared" si="0"/>
        <v>0.30271464964459804</v>
      </c>
      <c r="L30">
        <f t="shared" si="1"/>
        <v>50441.069627094694</v>
      </c>
      <c r="N30" s="27">
        <f t="shared" si="2"/>
        <v>0.20179312623237616</v>
      </c>
    </row>
    <row r="31" spans="1:34" x14ac:dyDescent="0.35">
      <c r="A31" s="37">
        <v>45901</v>
      </c>
      <c r="B31" s="38">
        <v>19633.43</v>
      </c>
      <c r="C31" s="38">
        <v>2489736.54</v>
      </c>
      <c r="D31" s="38">
        <v>7266.46</v>
      </c>
      <c r="E31" s="38">
        <v>1770169.25</v>
      </c>
      <c r="F31" s="38">
        <v>12366.97</v>
      </c>
      <c r="G31" s="38">
        <v>719567.29</v>
      </c>
      <c r="H31" s="33">
        <v>0.67</v>
      </c>
      <c r="I31" s="40">
        <v>145134.78</v>
      </c>
      <c r="J31" s="41">
        <f t="shared" ref="J31:J39" si="3">I31/C31</f>
        <v>5.8293228085892171E-2</v>
      </c>
      <c r="K31" s="32">
        <f t="shared" si="0"/>
        <v>0.28901342709939903</v>
      </c>
      <c r="L31">
        <f t="shared" si="1"/>
        <v>41945.900159117315</v>
      </c>
      <c r="N31" s="27">
        <f t="shared" si="2"/>
        <v>0.20169730060964833</v>
      </c>
      <c r="P31" s="28"/>
    </row>
    <row r="32" spans="1:34" x14ac:dyDescent="0.35">
      <c r="A32" s="39" t="s">
        <v>266</v>
      </c>
      <c r="B32" s="38">
        <v>20008.310000000001</v>
      </c>
      <c r="C32" s="38">
        <v>2485472.91</v>
      </c>
      <c r="D32" s="38">
        <v>7303.15</v>
      </c>
      <c r="E32" s="38">
        <v>1761675.49</v>
      </c>
      <c r="F32" s="38">
        <v>12705.16</v>
      </c>
      <c r="G32" s="38">
        <v>723797.42</v>
      </c>
      <c r="I32" s="40">
        <v>143484.97</v>
      </c>
      <c r="J32" s="41">
        <f t="shared" si="3"/>
        <v>5.7729444333392471E-2</v>
      </c>
      <c r="K32" s="32">
        <f t="shared" si="0"/>
        <v>0.29121114822369959</v>
      </c>
      <c r="L32">
        <f t="shared" si="1"/>
        <v>41784.422866543093</v>
      </c>
      <c r="N32" s="27">
        <f t="shared" si="2"/>
        <v>0.19823912884353745</v>
      </c>
    </row>
    <row r="33" spans="1:20" s="39" customFormat="1" x14ac:dyDescent="0.35">
      <c r="A33" s="39" t="s">
        <v>267</v>
      </c>
      <c r="B33" s="38">
        <v>19467.95</v>
      </c>
      <c r="C33" s="38">
        <v>2508498.09</v>
      </c>
      <c r="D33" s="38">
        <v>7079.84</v>
      </c>
      <c r="E33" s="38">
        <v>1774485.73</v>
      </c>
      <c r="F33" s="38">
        <v>12388.11</v>
      </c>
      <c r="G33" s="38">
        <v>734012.36</v>
      </c>
      <c r="H33" s="33">
        <v>0.67</v>
      </c>
      <c r="I33" s="40">
        <v>143650.62</v>
      </c>
      <c r="J33" s="41">
        <f t="shared" si="3"/>
        <v>5.7265588749162655E-2</v>
      </c>
      <c r="K33" s="32">
        <f t="shared" si="0"/>
        <v>0.292610292559561</v>
      </c>
      <c r="L33">
        <f t="shared" si="1"/>
        <v>42033.649944562327</v>
      </c>
      <c r="N33" s="27">
        <f t="shared" si="2"/>
        <v>0.19570599601347313</v>
      </c>
      <c r="S33"/>
      <c r="T33"/>
    </row>
    <row r="34" spans="1:20" x14ac:dyDescent="0.35">
      <c r="A34" s="39" t="s">
        <v>268</v>
      </c>
      <c r="B34" s="38">
        <v>18395.009999999998</v>
      </c>
      <c r="C34" s="38">
        <v>2403930.69</v>
      </c>
      <c r="D34" s="38">
        <v>6685.63</v>
      </c>
      <c r="E34" s="38">
        <v>1721058.47</v>
      </c>
      <c r="F34" s="38">
        <v>11709.38</v>
      </c>
      <c r="G34" s="38">
        <v>682872.22</v>
      </c>
      <c r="H34" s="33">
        <v>0.66</v>
      </c>
      <c r="I34" s="40">
        <v>134171.16</v>
      </c>
      <c r="J34" s="41">
        <f t="shared" si="3"/>
        <v>5.5813239773564359E-2</v>
      </c>
      <c r="K34" s="32">
        <f t="shared" si="0"/>
        <v>0.2840648537999238</v>
      </c>
      <c r="L34">
        <f t="shared" si="1"/>
        <v>38113.310949566185</v>
      </c>
      <c r="N34" s="27">
        <f t="shared" si="2"/>
        <v>0.19648062414956638</v>
      </c>
      <c r="S34" s="39"/>
      <c r="T34" s="39"/>
    </row>
    <row r="35" spans="1:20" x14ac:dyDescent="0.35">
      <c r="A35" s="39" t="s">
        <v>269</v>
      </c>
      <c r="B35" s="38">
        <v>18677.46</v>
      </c>
      <c r="C35" s="38">
        <v>2514297.0099999998</v>
      </c>
      <c r="D35" s="38">
        <v>6823.8</v>
      </c>
      <c r="E35" s="38">
        <v>1817672.02</v>
      </c>
      <c r="F35" s="38">
        <v>11853.66</v>
      </c>
      <c r="G35" s="38">
        <v>696624.99</v>
      </c>
      <c r="H35" s="33">
        <v>0.66</v>
      </c>
      <c r="I35" s="40">
        <v>138068.97</v>
      </c>
      <c r="J35" s="41">
        <f t="shared" si="3"/>
        <v>5.4913548181008263E-2</v>
      </c>
      <c r="K35" s="32">
        <f t="shared" si="0"/>
        <v>0.27706551263806339</v>
      </c>
      <c r="L35">
        <f t="shared" si="1"/>
        <v>38254.149952459396</v>
      </c>
      <c r="N35" s="27">
        <f t="shared" si="2"/>
        <v>0.19819698113327805</v>
      </c>
    </row>
    <row r="36" spans="1:20" x14ac:dyDescent="0.35">
      <c r="A36" s="39" t="s">
        <v>270</v>
      </c>
      <c r="B36" s="38">
        <v>17893.419999999998</v>
      </c>
      <c r="C36" s="38">
        <v>2394925.87</v>
      </c>
      <c r="D36" s="38">
        <v>6539.82</v>
      </c>
      <c r="E36" s="38">
        <v>1731364.08</v>
      </c>
      <c r="F36" s="38">
        <v>11353.6</v>
      </c>
      <c r="G36" s="38">
        <v>663561.79</v>
      </c>
      <c r="H36" s="33">
        <v>0.67</v>
      </c>
      <c r="I36" s="40">
        <v>131153.97</v>
      </c>
      <c r="J36" s="41">
        <f t="shared" si="3"/>
        <v>5.4763269144526797E-2</v>
      </c>
      <c r="K36" s="32">
        <f t="shared" si="0"/>
        <v>0.27706986604975792</v>
      </c>
      <c r="L36">
        <f t="shared" si="1"/>
        <v>36338.812899793971</v>
      </c>
      <c r="N36" s="27">
        <f t="shared" si="2"/>
        <v>0.19765148020352408</v>
      </c>
    </row>
    <row r="37" spans="1:20" x14ac:dyDescent="0.35">
      <c r="A37" s="39" t="s">
        <v>271</v>
      </c>
      <c r="B37" s="38">
        <v>18301.509999999998</v>
      </c>
      <c r="C37" s="38">
        <v>2477221.61</v>
      </c>
      <c r="D37" s="38">
        <v>6840.45</v>
      </c>
      <c r="E37" s="38">
        <v>1806811.06</v>
      </c>
      <c r="F37" s="38">
        <v>11461.06</v>
      </c>
      <c r="G37" s="38">
        <v>670410.55000000005</v>
      </c>
      <c r="H37" s="33">
        <v>0.66</v>
      </c>
      <c r="I37" s="40">
        <v>132912.04</v>
      </c>
      <c r="J37" s="41">
        <f t="shared" si="3"/>
        <v>5.3653673721988891E-2</v>
      </c>
      <c r="K37" s="32">
        <f t="shared" si="0"/>
        <v>0.27063002651587559</v>
      </c>
      <c r="L37">
        <f t="shared" si="1"/>
        <v>35969.988909479122</v>
      </c>
      <c r="N37" s="27">
        <f t="shared" si="2"/>
        <v>0.19825469632003853</v>
      </c>
    </row>
    <row r="38" spans="1:20" x14ac:dyDescent="0.35">
      <c r="A38" s="39" t="s">
        <v>272</v>
      </c>
      <c r="B38" s="38">
        <v>16106.19</v>
      </c>
      <c r="C38" s="38">
        <v>2196481.69</v>
      </c>
      <c r="D38" s="38">
        <v>6039.45</v>
      </c>
      <c r="E38" s="38">
        <v>1606397.95</v>
      </c>
      <c r="F38" s="38">
        <v>10066.74</v>
      </c>
      <c r="G38" s="38">
        <v>590083.74</v>
      </c>
      <c r="H38" s="33">
        <v>0.56999999999999995</v>
      </c>
      <c r="I38" s="40">
        <v>117090.29</v>
      </c>
      <c r="J38" s="41">
        <f t="shared" si="3"/>
        <v>5.3308111118376772E-2</v>
      </c>
      <c r="K38" s="32">
        <f t="shared" si="0"/>
        <v>0.26864951466998116</v>
      </c>
      <c r="L38">
        <f t="shared" si="1"/>
        <v>31456.249581067346</v>
      </c>
    </row>
    <row r="39" spans="1:20" x14ac:dyDescent="0.35">
      <c r="A39" s="39" t="s">
        <v>273</v>
      </c>
      <c r="B39" s="38">
        <v>16996</v>
      </c>
      <c r="C39" s="38">
        <v>2348037.1200000001</v>
      </c>
      <c r="D39" s="38">
        <v>6426.25</v>
      </c>
      <c r="E39" s="38">
        <v>1703333.03</v>
      </c>
      <c r="F39" s="38">
        <v>10569.75</v>
      </c>
      <c r="G39" s="38">
        <v>644704.09</v>
      </c>
      <c r="H39" s="33">
        <v>0.67</v>
      </c>
      <c r="I39" s="40">
        <v>126313.45</v>
      </c>
      <c r="J39" s="41">
        <f t="shared" si="3"/>
        <v>5.3795337784097723E-2</v>
      </c>
      <c r="K39" s="32">
        <f t="shared" si="0"/>
        <v>0.27457150677413478</v>
      </c>
      <c r="L39">
        <f t="shared" si="1"/>
        <v>34682.074292339334</v>
      </c>
    </row>
    <row r="40" spans="1:20" x14ac:dyDescent="0.35">
      <c r="H40" s="32">
        <f>AVERAGE(H33:H39,H25:H31)</f>
        <v>0.66499999999999992</v>
      </c>
      <c r="I40" t="s">
        <v>274</v>
      </c>
      <c r="J40" s="42">
        <f>AVERAGE(J26:J39)</f>
        <v>5.8183065148091462E-2</v>
      </c>
      <c r="K40" s="32">
        <f>AVERAGE(K25:K39)</f>
        <v>0.28554446962716651</v>
      </c>
      <c r="L40" s="32"/>
    </row>
    <row r="41" spans="1:20" x14ac:dyDescent="0.35">
      <c r="C41" s="43">
        <f>SUM(C25:C36)</f>
        <v>31423249.710000005</v>
      </c>
      <c r="E41" s="43">
        <f>SUM(E25:E36)</f>
        <v>22330220.57</v>
      </c>
      <c r="G41" s="43">
        <f>SUM(G25:G36)</f>
        <v>9093029.1400000006</v>
      </c>
      <c r="I41" t="s">
        <v>275</v>
      </c>
      <c r="J41" s="41">
        <f>_xlfn.STDEV.S(J26:J39)</f>
        <v>4.0999465922120911E-3</v>
      </c>
      <c r="K41" s="32">
        <f>_xlfn.STDEV.S(K25:K40)</f>
        <v>9.5478973762405748E-3</v>
      </c>
      <c r="L41" s="43">
        <f>SUM(L25:L36)</f>
        <v>547171.07383665629</v>
      </c>
      <c r="M41">
        <f>L41/G41</f>
        <v>6.0174785037217668E-2</v>
      </c>
    </row>
    <row r="42" spans="1:20" x14ac:dyDescent="0.35">
      <c r="G42">
        <f>SUM(I25:I36)/G41</f>
        <v>0.20776764971964004</v>
      </c>
      <c r="J42" s="42"/>
      <c r="L42">
        <f>SUM(L25:L27)/SUM(G25:G27)</f>
        <v>6.4695605608889359E-2</v>
      </c>
    </row>
    <row r="43" spans="1:20" x14ac:dyDescent="0.35">
      <c r="A43" t="s">
        <v>276</v>
      </c>
      <c r="B43" s="33">
        <v>7.0000000000000007E-2</v>
      </c>
      <c r="C43" t="s">
        <v>277</v>
      </c>
    </row>
    <row r="44" spans="1:20" x14ac:dyDescent="0.35">
      <c r="A44" t="s">
        <v>278</v>
      </c>
      <c r="B44" t="s">
        <v>279</v>
      </c>
      <c r="H44" s="23">
        <v>45352</v>
      </c>
      <c r="I44" s="23">
        <v>45444</v>
      </c>
      <c r="J44" s="23">
        <v>45536</v>
      </c>
      <c r="K44" s="23">
        <v>45627</v>
      </c>
      <c r="L44" s="23">
        <v>45717</v>
      </c>
      <c r="M44" s="23">
        <v>45809</v>
      </c>
      <c r="N44" s="23">
        <v>45901</v>
      </c>
      <c r="O44" s="23">
        <v>45992</v>
      </c>
    </row>
    <row r="45" spans="1:20" x14ac:dyDescent="0.35">
      <c r="A45" t="s">
        <v>280</v>
      </c>
      <c r="D45">
        <f>210000*1.15</f>
        <v>241499.99999999997</v>
      </c>
      <c r="G45" t="s">
        <v>281</v>
      </c>
      <c r="H45">
        <v>96</v>
      </c>
      <c r="I45">
        <v>78</v>
      </c>
      <c r="J45">
        <v>71</v>
      </c>
      <c r="K45">
        <v>70</v>
      </c>
      <c r="L45">
        <v>72</v>
      </c>
      <c r="M45">
        <v>74</v>
      </c>
      <c r="N45">
        <v>75</v>
      </c>
      <c r="O45">
        <v>76</v>
      </c>
    </row>
    <row r="46" spans="1:20" x14ac:dyDescent="0.35">
      <c r="A46" t="s">
        <v>282</v>
      </c>
      <c r="G46" t="s">
        <v>283</v>
      </c>
      <c r="H46">
        <v>3950</v>
      </c>
      <c r="I46">
        <v>2820</v>
      </c>
      <c r="J46">
        <v>2680</v>
      </c>
      <c r="K46">
        <v>2670</v>
      </c>
      <c r="L46">
        <v>2670</v>
      </c>
      <c r="M46">
        <v>2470</v>
      </c>
      <c r="N46">
        <v>2280</v>
      </c>
      <c r="O46">
        <v>2380</v>
      </c>
    </row>
    <row r="47" spans="1:20" x14ac:dyDescent="0.35">
      <c r="A47" t="s">
        <v>284</v>
      </c>
      <c r="D47" t="s">
        <v>285</v>
      </c>
      <c r="E47">
        <f>4%*2194</f>
        <v>87.76</v>
      </c>
      <c r="G47" t="s">
        <v>286</v>
      </c>
      <c r="H47">
        <f>H46/H45</f>
        <v>41.145833333333336</v>
      </c>
      <c r="I47">
        <f t="shared" ref="I47:O47" si="4">I46/I45</f>
        <v>36.153846153846153</v>
      </c>
      <c r="J47">
        <f t="shared" si="4"/>
        <v>37.74647887323944</v>
      </c>
      <c r="K47">
        <f t="shared" si="4"/>
        <v>38.142857142857146</v>
      </c>
      <c r="L47">
        <f t="shared" si="4"/>
        <v>37.083333333333336</v>
      </c>
      <c r="M47">
        <f t="shared" si="4"/>
        <v>33.378378378378379</v>
      </c>
      <c r="N47">
        <f t="shared" si="4"/>
        <v>30.4</v>
      </c>
      <c r="O47">
        <f t="shared" si="4"/>
        <v>31.315789473684209</v>
      </c>
    </row>
    <row r="49" spans="1:19" x14ac:dyDescent="0.35">
      <c r="A49" s="23">
        <v>45870</v>
      </c>
      <c r="B49" t="s">
        <v>287</v>
      </c>
      <c r="M49">
        <v>450000</v>
      </c>
      <c r="N49">
        <v>430000</v>
      </c>
      <c r="O49">
        <v>470000</v>
      </c>
      <c r="P49">
        <v>510000</v>
      </c>
    </row>
    <row r="50" spans="1:19" x14ac:dyDescent="0.35">
      <c r="B50" t="s">
        <v>288</v>
      </c>
      <c r="C50" t="s">
        <v>289</v>
      </c>
      <c r="D50" t="s">
        <v>290</v>
      </c>
      <c r="H50" s="23">
        <v>45992</v>
      </c>
      <c r="I50" s="23">
        <v>45901</v>
      </c>
      <c r="J50" s="23">
        <v>45809</v>
      </c>
      <c r="K50" s="23">
        <v>45717</v>
      </c>
      <c r="L50" s="23">
        <v>45627</v>
      </c>
      <c r="M50" s="23">
        <v>45536</v>
      </c>
      <c r="N50" s="23">
        <v>45444</v>
      </c>
      <c r="O50" s="23">
        <v>45352</v>
      </c>
      <c r="P50" s="23">
        <v>45261</v>
      </c>
    </row>
    <row r="51" spans="1:19" x14ac:dyDescent="0.35">
      <c r="A51" t="s">
        <v>22</v>
      </c>
      <c r="B51">
        <v>38090</v>
      </c>
      <c r="C51">
        <v>61280</v>
      </c>
      <c r="D51">
        <v>48440</v>
      </c>
      <c r="G51" t="s">
        <v>291</v>
      </c>
      <c r="H51">
        <v>92</v>
      </c>
      <c r="I51">
        <v>77</v>
      </c>
      <c r="J51">
        <v>67</v>
      </c>
    </row>
    <row r="52" spans="1:19" x14ac:dyDescent="0.35">
      <c r="A52" t="s">
        <v>292</v>
      </c>
      <c r="B52">
        <v>17030</v>
      </c>
      <c r="C52">
        <v>20040</v>
      </c>
      <c r="D52">
        <v>15400</v>
      </c>
      <c r="G52" t="s">
        <v>293</v>
      </c>
      <c r="H52">
        <v>2194</v>
      </c>
      <c r="I52">
        <v>2061</v>
      </c>
      <c r="J52">
        <v>1918</v>
      </c>
      <c r="K52">
        <v>1911</v>
      </c>
      <c r="L52">
        <v>1828</v>
      </c>
      <c r="M52">
        <v>1660</v>
      </c>
      <c r="N52">
        <v>1502</v>
      </c>
    </row>
    <row r="53" spans="1:19" x14ac:dyDescent="0.35">
      <c r="A53" t="s">
        <v>23</v>
      </c>
      <c r="B53">
        <v>11580</v>
      </c>
      <c r="C53">
        <v>17380</v>
      </c>
      <c r="D53">
        <v>15200</v>
      </c>
      <c r="G53" t="s">
        <v>294</v>
      </c>
      <c r="H53">
        <f>H56/I56</f>
        <v>1.38</v>
      </c>
      <c r="I53">
        <f>I56/J56</f>
        <v>1.3513513513513513</v>
      </c>
      <c r="J53">
        <f>J56/K56</f>
        <v>0.90243902439024393</v>
      </c>
    </row>
    <row r="54" spans="1:19" x14ac:dyDescent="0.35">
      <c r="A54" t="s">
        <v>295</v>
      </c>
      <c r="B54">
        <v>1600</v>
      </c>
      <c r="C54">
        <v>1080</v>
      </c>
      <c r="D54">
        <v>860</v>
      </c>
      <c r="G54" t="s">
        <v>161</v>
      </c>
      <c r="H54">
        <v>671</v>
      </c>
      <c r="I54">
        <v>629</v>
      </c>
      <c r="J54">
        <v>581</v>
      </c>
      <c r="K54">
        <v>520</v>
      </c>
      <c r="L54">
        <v>570</v>
      </c>
      <c r="M54">
        <v>517</v>
      </c>
      <c r="N54">
        <v>517</v>
      </c>
      <c r="O54">
        <v>715</v>
      </c>
      <c r="P54">
        <v>982</v>
      </c>
    </row>
    <row r="55" spans="1:19" x14ac:dyDescent="0.35">
      <c r="A55" t="s">
        <v>296</v>
      </c>
      <c r="B55">
        <v>700</v>
      </c>
      <c r="G55" t="s">
        <v>297</v>
      </c>
      <c r="H55" s="61">
        <f>H54/I6/10</f>
        <v>1.082258064516129E-5</v>
      </c>
      <c r="I55" s="61">
        <f>I54/I5/10</f>
        <v>1.1035087719298246E-5</v>
      </c>
      <c r="J55" s="61">
        <f>J54/I4/10</f>
        <v>1.0759259259259258E-5</v>
      </c>
      <c r="K55" s="61">
        <f>K54/I3/10</f>
        <v>1.0196078431372549E-5</v>
      </c>
      <c r="L55" s="61">
        <f>L54/I2/10</f>
        <v>1.1400000000000001E-5</v>
      </c>
      <c r="M55" s="61">
        <f>M54/M49</f>
        <v>1.148888888888889E-3</v>
      </c>
      <c r="N55" s="61">
        <f>N54/N49</f>
        <v>1.2023255813953489E-3</v>
      </c>
      <c r="O55" s="61">
        <f>O54/O49</f>
        <v>1.5212765957446808E-3</v>
      </c>
      <c r="P55" s="61">
        <f>P54/P49</f>
        <v>1.9254901960784315E-3</v>
      </c>
    </row>
    <row r="56" spans="1:19" x14ac:dyDescent="0.35">
      <c r="B56" s="23">
        <v>45992</v>
      </c>
      <c r="C56" s="23">
        <v>45901</v>
      </c>
      <c r="D56" s="23">
        <v>45809</v>
      </c>
      <c r="E56" s="23">
        <v>45717</v>
      </c>
      <c r="F56" s="23">
        <v>45627</v>
      </c>
      <c r="G56" t="s">
        <v>298</v>
      </c>
      <c r="H56">
        <v>69</v>
      </c>
      <c r="I56">
        <v>50</v>
      </c>
      <c r="J56">
        <v>37</v>
      </c>
      <c r="K56">
        <v>41</v>
      </c>
      <c r="L56">
        <v>37</v>
      </c>
      <c r="M56">
        <v>29</v>
      </c>
      <c r="N56">
        <v>44</v>
      </c>
      <c r="O56">
        <v>46</v>
      </c>
      <c r="P56">
        <v>106</v>
      </c>
    </row>
    <row r="57" spans="1:19" x14ac:dyDescent="0.35">
      <c r="A57" t="s">
        <v>299</v>
      </c>
      <c r="B57">
        <v>6720</v>
      </c>
      <c r="C57">
        <v>6110</v>
      </c>
      <c r="D57">
        <v>5610</v>
      </c>
      <c r="E57">
        <v>5450</v>
      </c>
      <c r="F57">
        <v>5020</v>
      </c>
      <c r="G57" t="s">
        <v>300</v>
      </c>
      <c r="H57">
        <f>H56/O45</f>
        <v>0.90789473684210531</v>
      </c>
      <c r="I57">
        <f>I56/N45</f>
        <v>0.66666666666666663</v>
      </c>
      <c r="J57">
        <f>J56/M45</f>
        <v>0.5</v>
      </c>
      <c r="K57">
        <f>K56/L45</f>
        <v>0.56944444444444442</v>
      </c>
      <c r="L57">
        <f>L56/K45</f>
        <v>0.52857142857142858</v>
      </c>
      <c r="M57">
        <f>M56/J45</f>
        <v>0.40845070422535212</v>
      </c>
    </row>
    <row r="58" spans="1:19" x14ac:dyDescent="0.35">
      <c r="B58">
        <f>B57/C57</f>
        <v>1.099836333878887</v>
      </c>
      <c r="C58">
        <f>C57/D57</f>
        <v>1.089126559714795</v>
      </c>
      <c r="D58">
        <f>D57/E57</f>
        <v>1.0293577981651376</v>
      </c>
      <c r="E58">
        <f>E57/F57</f>
        <v>1.0856573705179282</v>
      </c>
      <c r="G58" t="s">
        <v>301</v>
      </c>
      <c r="H58">
        <v>205</v>
      </c>
      <c r="I58">
        <v>176</v>
      </c>
      <c r="J58">
        <v>148</v>
      </c>
      <c r="K58">
        <v>278</v>
      </c>
      <c r="L58">
        <v>262</v>
      </c>
      <c r="M58">
        <v>220</v>
      </c>
      <c r="N58">
        <v>185</v>
      </c>
      <c r="O58">
        <v>219</v>
      </c>
      <c r="P58">
        <v>242</v>
      </c>
    </row>
    <row r="59" spans="1:19" x14ac:dyDescent="0.35">
      <c r="A59" t="s">
        <v>302</v>
      </c>
      <c r="B59">
        <f>B57*35.57%</f>
        <v>2390.3040000000001</v>
      </c>
      <c r="C59">
        <f>C57*35.57%</f>
        <v>2173.3270000000002</v>
      </c>
      <c r="D59">
        <f>D57*35.57%</f>
        <v>1995.4770000000001</v>
      </c>
      <c r="E59">
        <f>E57*35.57%</f>
        <v>1938.5650000000001</v>
      </c>
      <c r="F59">
        <f>F57*35.57%</f>
        <v>1785.614</v>
      </c>
      <c r="G59" t="s">
        <v>303</v>
      </c>
      <c r="H59" s="61">
        <f>H58/H52</f>
        <v>9.3436645396536011E-2</v>
      </c>
      <c r="I59" s="61">
        <f t="shared" ref="I59:N59" si="5">I58/I52</f>
        <v>8.5395439107229507E-2</v>
      </c>
      <c r="J59" s="61">
        <f t="shared" si="5"/>
        <v>7.7163712200208553E-2</v>
      </c>
      <c r="K59" s="61">
        <f t="shared" si="5"/>
        <v>0.14547357404500261</v>
      </c>
      <c r="L59" s="61">
        <f t="shared" si="5"/>
        <v>0.14332603938730853</v>
      </c>
      <c r="M59" s="61">
        <f t="shared" si="5"/>
        <v>0.13253012048192772</v>
      </c>
      <c r="N59" s="61">
        <f t="shared" si="5"/>
        <v>0.12316910785619174</v>
      </c>
      <c r="O59" s="61"/>
    </row>
    <row r="60" spans="1:19" x14ac:dyDescent="0.35">
      <c r="B60">
        <f>B59/C59</f>
        <v>1.099836333878887</v>
      </c>
      <c r="C60">
        <f>C59/D59</f>
        <v>1.089126559714795</v>
      </c>
      <c r="D60">
        <f>D59/E59</f>
        <v>1.0293577981651376</v>
      </c>
      <c r="E60">
        <f>E59/F59</f>
        <v>1.0856573705179282</v>
      </c>
      <c r="G60" t="s">
        <v>304</v>
      </c>
      <c r="H60">
        <v>1092</v>
      </c>
      <c r="I60">
        <v>1064</v>
      </c>
      <c r="J60">
        <v>1079</v>
      </c>
      <c r="K60">
        <f>991+169</f>
        <v>1160</v>
      </c>
      <c r="L60">
        <v>1182</v>
      </c>
      <c r="M60">
        <f>247+1301</f>
        <v>1548</v>
      </c>
    </row>
    <row r="61" spans="1:19" x14ac:dyDescent="0.35">
      <c r="G61" t="s">
        <v>104</v>
      </c>
      <c r="H61">
        <v>77</v>
      </c>
      <c r="I61">
        <v>72</v>
      </c>
      <c r="J61">
        <v>62</v>
      </c>
      <c r="K61">
        <v>102</v>
      </c>
      <c r="L61">
        <v>104</v>
      </c>
      <c r="M61">
        <v>125</v>
      </c>
      <c r="N61">
        <f>H61/H52</f>
        <v>3.5095715587967181E-2</v>
      </c>
      <c r="O61">
        <f>I61/I52</f>
        <v>3.4934497816593885E-2</v>
      </c>
      <c r="P61">
        <f>J61/J52</f>
        <v>3.2325338894681963E-2</v>
      </c>
      <c r="Q61">
        <f>K61/K52</f>
        <v>5.3375196232339092E-2</v>
      </c>
      <c r="R61">
        <f>L61/L52</f>
        <v>5.689277899343545E-2</v>
      </c>
    </row>
    <row r="62" spans="1:19" x14ac:dyDescent="0.35">
      <c r="G62" t="s">
        <v>105</v>
      </c>
      <c r="H62">
        <v>721</v>
      </c>
      <c r="I62">
        <v>662</v>
      </c>
      <c r="J62">
        <v>643</v>
      </c>
      <c r="K62">
        <v>646.9</v>
      </c>
      <c r="L62">
        <v>757</v>
      </c>
      <c r="M62">
        <v>831</v>
      </c>
      <c r="N62">
        <f>H62/H52</f>
        <v>0.32862351868732909</v>
      </c>
      <c r="O62">
        <f>I62/I52</f>
        <v>0.32120329936923825</v>
      </c>
      <c r="P62">
        <f>J62/J52</f>
        <v>0.33524504692387902</v>
      </c>
      <c r="Q62">
        <f>K62/K52</f>
        <v>0.33851386708529563</v>
      </c>
      <c r="R62">
        <f>L62/L52</f>
        <v>0.41411378555798689</v>
      </c>
      <c r="S62">
        <f>M61/M52</f>
        <v>7.5301204819277115E-2</v>
      </c>
    </row>
    <row r="63" spans="1:19" x14ac:dyDescent="0.35">
      <c r="G63" t="s">
        <v>106</v>
      </c>
      <c r="H63">
        <v>166</v>
      </c>
      <c r="I63">
        <v>133</v>
      </c>
      <c r="J63">
        <v>168</v>
      </c>
      <c r="K63">
        <v>146</v>
      </c>
      <c r="L63">
        <v>154</v>
      </c>
      <c r="M63">
        <v>158</v>
      </c>
      <c r="N63">
        <f>H63/H52</f>
        <v>7.5660893345487687E-2</v>
      </c>
      <c r="O63">
        <f>I63/I52</f>
        <v>6.4531780688985935E-2</v>
      </c>
      <c r="P63">
        <f>J63/J52</f>
        <v>8.7591240875912413E-2</v>
      </c>
      <c r="Q63">
        <f>K63/K52</f>
        <v>7.6399790685504967E-2</v>
      </c>
      <c r="R63">
        <f>L63/L52</f>
        <v>8.4245076586433265E-2</v>
      </c>
      <c r="S63">
        <f>M62/M52</f>
        <v>0.50060240963855418</v>
      </c>
    </row>
    <row r="64" spans="1:19" x14ac:dyDescent="0.35">
      <c r="G64" t="s">
        <v>107</v>
      </c>
      <c r="H64">
        <v>128</v>
      </c>
      <c r="I64">
        <v>198</v>
      </c>
      <c r="J64">
        <v>207</v>
      </c>
      <c r="K64">
        <v>165</v>
      </c>
      <c r="L64">
        <v>167</v>
      </c>
      <c r="M64">
        <v>184</v>
      </c>
      <c r="N64">
        <f>H64/H52</f>
        <v>5.8340929808568823E-2</v>
      </c>
      <c r="O64">
        <f>I64/I52</f>
        <v>9.606986899563319E-2</v>
      </c>
      <c r="P64">
        <f>J64/J52</f>
        <v>0.10792492179353493</v>
      </c>
      <c r="Q64">
        <f>K64/K52</f>
        <v>8.6342229199372053E-2</v>
      </c>
      <c r="R64">
        <f>L64/L52</f>
        <v>9.1356673960612686E-2</v>
      </c>
      <c r="S64">
        <f>M63/M52</f>
        <v>9.5180722891566261E-2</v>
      </c>
    </row>
    <row r="65" spans="1:19" x14ac:dyDescent="0.35">
      <c r="A65" t="s">
        <v>305</v>
      </c>
      <c r="B65">
        <f>B59*13.1%</f>
        <v>313.12982400000004</v>
      </c>
      <c r="C65">
        <f>C59*13.1%</f>
        <v>284.70583700000003</v>
      </c>
      <c r="D65">
        <f>D59*13.1%</f>
        <v>261.407487</v>
      </c>
      <c r="E65">
        <f>E59*13.1%</f>
        <v>253.95201500000002</v>
      </c>
      <c r="F65">
        <f>F59*13.1%</f>
        <v>233.915434</v>
      </c>
      <c r="G65" t="s">
        <v>306</v>
      </c>
      <c r="H65" s="33">
        <v>7.0000000000000007E-2</v>
      </c>
      <c r="I65" s="33">
        <v>7.0000000000000007E-2</v>
      </c>
      <c r="J65" s="33">
        <v>0.04</v>
      </c>
      <c r="S65">
        <f>M64/M52</f>
        <v>0.1108433734939759</v>
      </c>
    </row>
    <row r="66" spans="1:19" x14ac:dyDescent="0.35">
      <c r="B66">
        <f>B65/C65</f>
        <v>1.099836333878887</v>
      </c>
      <c r="C66">
        <f>C65/D65</f>
        <v>1.0891265597147952</v>
      </c>
      <c r="D66">
        <f>D65/E65</f>
        <v>1.0293577981651376</v>
      </c>
      <c r="E66">
        <f>E65/F65</f>
        <v>1.0856573705179284</v>
      </c>
      <c r="H66">
        <f>SUM(H56:J56)/AVERAGE(M45,O45)*(1.3333)*10</f>
        <v>27.732639999999996</v>
      </c>
      <c r="I66">
        <f>151/75*10</f>
        <v>20.133333333333333</v>
      </c>
    </row>
    <row r="67" spans="1:19" x14ac:dyDescent="0.35">
      <c r="H67">
        <v>156</v>
      </c>
      <c r="I67">
        <v>142</v>
      </c>
      <c r="J67">
        <v>72</v>
      </c>
      <c r="K67">
        <f>SUM(H67:J67)/SUM(H52:J52)</f>
        <v>5.9938441600518387E-2</v>
      </c>
    </row>
    <row r="68" spans="1:19" x14ac:dyDescent="0.35">
      <c r="A68" t="s">
        <v>23</v>
      </c>
      <c r="B68" s="23">
        <v>45992</v>
      </c>
      <c r="C68" s="23">
        <v>45901</v>
      </c>
      <c r="D68" s="23">
        <v>45809</v>
      </c>
      <c r="E68" s="23">
        <v>45717</v>
      </c>
      <c r="F68" s="23">
        <v>45627</v>
      </c>
      <c r="H68">
        <f>H67/H52</f>
        <v>7.1103008204193255E-2</v>
      </c>
      <c r="I68">
        <f>I67/I52</f>
        <v>6.8898592916060167E-2</v>
      </c>
      <c r="J68">
        <f>J67/J52</f>
        <v>3.7539103232533892E-2</v>
      </c>
      <c r="K68">
        <v>5.5E-2</v>
      </c>
    </row>
    <row r="69" spans="1:19" x14ac:dyDescent="0.35">
      <c r="B69">
        <v>2380</v>
      </c>
      <c r="C69">
        <v>2280</v>
      </c>
      <c r="D69">
        <v>2470</v>
      </c>
      <c r="E69">
        <v>2670</v>
      </c>
      <c r="F69">
        <v>2670</v>
      </c>
    </row>
    <row r="70" spans="1:19" x14ac:dyDescent="0.35">
      <c r="B70">
        <f>B69/C69</f>
        <v>1.0438596491228069</v>
      </c>
      <c r="C70">
        <f>C69/D69</f>
        <v>0.92307692307692313</v>
      </c>
      <c r="D70">
        <f>D69/E69</f>
        <v>0.92509363295880154</v>
      </c>
      <c r="E70">
        <f>E69/F69</f>
        <v>1</v>
      </c>
    </row>
    <row r="72" spans="1:19" x14ac:dyDescent="0.35">
      <c r="A72" t="s">
        <v>307</v>
      </c>
      <c r="H72" s="28">
        <f>'Raw Data'!F7*Assumptions!H23*3</f>
        <v>3321.6531372371455</v>
      </c>
    </row>
    <row r="73" spans="1:19" x14ac:dyDescent="0.35">
      <c r="B73" t="s">
        <v>308</v>
      </c>
      <c r="C73" t="s">
        <v>309</v>
      </c>
      <c r="D73" t="s">
        <v>310</v>
      </c>
      <c r="E73" t="s">
        <v>311</v>
      </c>
      <c r="F73" t="s">
        <v>312</v>
      </c>
      <c r="G73" t="s">
        <v>313</v>
      </c>
    </row>
    <row r="74" spans="1:19" x14ac:dyDescent="0.35">
      <c r="A74" t="s">
        <v>314</v>
      </c>
      <c r="H74" t="s">
        <v>315</v>
      </c>
      <c r="I74">
        <v>2.9</v>
      </c>
    </row>
    <row r="75" spans="1:19" x14ac:dyDescent="0.35">
      <c r="A75" t="s">
        <v>316</v>
      </c>
      <c r="B75">
        <v>4014</v>
      </c>
      <c r="C75">
        <v>48</v>
      </c>
      <c r="D75">
        <v>266</v>
      </c>
      <c r="E75">
        <v>10</v>
      </c>
      <c r="F75">
        <v>311</v>
      </c>
      <c r="G75">
        <v>13126</v>
      </c>
      <c r="H75" t="s">
        <v>290</v>
      </c>
      <c r="I75">
        <v>6.8</v>
      </c>
      <c r="L75">
        <f>6738/(D51*22%)</f>
        <v>0.63227235192553111</v>
      </c>
    </row>
    <row r="76" spans="1:19" x14ac:dyDescent="0.35">
      <c r="A76" t="s">
        <v>183</v>
      </c>
      <c r="B76">
        <v>395</v>
      </c>
      <c r="C76">
        <v>4</v>
      </c>
      <c r="D76">
        <v>7</v>
      </c>
      <c r="F76">
        <v>26</v>
      </c>
      <c r="G76">
        <v>7372</v>
      </c>
      <c r="H76" t="s">
        <v>289</v>
      </c>
      <c r="I76">
        <v>10.7</v>
      </c>
      <c r="L76">
        <f>G76/(22%*C51)</f>
        <v>0.54681936862093516</v>
      </c>
    </row>
    <row r="77" spans="1:19" x14ac:dyDescent="0.35">
      <c r="A77" t="s">
        <v>317</v>
      </c>
      <c r="B77">
        <v>1387</v>
      </c>
      <c r="C77">
        <v>6</v>
      </c>
      <c r="D77">
        <v>1</v>
      </c>
      <c r="F77">
        <v>5</v>
      </c>
      <c r="G77">
        <v>153</v>
      </c>
      <c r="H77" t="s">
        <v>288</v>
      </c>
      <c r="I77">
        <v>12.4</v>
      </c>
      <c r="L77">
        <f>G79/(22%*B51)</f>
        <v>0.39989021217690163</v>
      </c>
    </row>
    <row r="78" spans="1:19" x14ac:dyDescent="0.35">
      <c r="A78" t="s">
        <v>318</v>
      </c>
      <c r="B78">
        <f t="shared" ref="B78:G78" si="6">B75+B76-B77</f>
        <v>3022</v>
      </c>
      <c r="C78">
        <f t="shared" si="6"/>
        <v>46</v>
      </c>
      <c r="D78">
        <f t="shared" si="6"/>
        <v>272</v>
      </c>
      <c r="E78">
        <f t="shared" si="6"/>
        <v>10</v>
      </c>
      <c r="F78">
        <f t="shared" si="6"/>
        <v>332</v>
      </c>
      <c r="G78">
        <f t="shared" si="6"/>
        <v>20345</v>
      </c>
      <c r="H78" t="s">
        <v>27</v>
      </c>
      <c r="I78">
        <v>14.1</v>
      </c>
    </row>
    <row r="79" spans="1:19" x14ac:dyDescent="0.35">
      <c r="A79" t="s">
        <v>183</v>
      </c>
      <c r="B79">
        <v>47</v>
      </c>
      <c r="C79">
        <v>1</v>
      </c>
      <c r="D79">
        <v>3</v>
      </c>
      <c r="E79">
        <v>6</v>
      </c>
      <c r="F79">
        <v>10</v>
      </c>
      <c r="G79">
        <v>3351</v>
      </c>
    </row>
    <row r="80" spans="1:19" x14ac:dyDescent="0.35">
      <c r="A80" t="s">
        <v>317</v>
      </c>
      <c r="B80">
        <v>410</v>
      </c>
      <c r="C80">
        <v>14</v>
      </c>
      <c r="D80">
        <v>21</v>
      </c>
      <c r="E80">
        <v>4</v>
      </c>
      <c r="F80">
        <v>52</v>
      </c>
      <c r="G80">
        <v>314</v>
      </c>
    </row>
    <row r="81" spans="1:9" x14ac:dyDescent="0.35">
      <c r="A81" t="s">
        <v>319</v>
      </c>
      <c r="B81">
        <f t="shared" ref="B81:G81" si="7">B78+B79-B80</f>
        <v>2659</v>
      </c>
      <c r="C81">
        <f t="shared" si="7"/>
        <v>33</v>
      </c>
      <c r="D81">
        <f t="shared" si="7"/>
        <v>254</v>
      </c>
      <c r="E81">
        <f t="shared" si="7"/>
        <v>12</v>
      </c>
      <c r="F81">
        <f t="shared" si="7"/>
        <v>290</v>
      </c>
      <c r="G81">
        <f t="shared" si="7"/>
        <v>23382</v>
      </c>
    </row>
    <row r="82" spans="1:9" x14ac:dyDescent="0.35">
      <c r="B82">
        <v>3</v>
      </c>
      <c r="C82">
        <v>10</v>
      </c>
      <c r="D82">
        <v>6</v>
      </c>
      <c r="E82">
        <v>8</v>
      </c>
      <c r="F82">
        <v>5</v>
      </c>
    </row>
    <row r="83" spans="1:9" x14ac:dyDescent="0.35">
      <c r="A83" t="s">
        <v>320</v>
      </c>
      <c r="B83">
        <f>SUMPRODUCT(B81:F81,B82:F82)/SUM(B81:F81)</f>
        <v>3.5027709359605912</v>
      </c>
    </row>
    <row r="84" spans="1:9" x14ac:dyDescent="0.35">
      <c r="A84" t="s">
        <v>318</v>
      </c>
      <c r="B84">
        <v>464</v>
      </c>
      <c r="C84">
        <v>5</v>
      </c>
      <c r="D84">
        <v>44</v>
      </c>
      <c r="E84">
        <v>1</v>
      </c>
      <c r="F84">
        <v>25</v>
      </c>
      <c r="G84">
        <v>6173</v>
      </c>
    </row>
    <row r="85" spans="1:9" x14ac:dyDescent="0.35">
      <c r="A85" t="s">
        <v>319</v>
      </c>
      <c r="B85">
        <v>252</v>
      </c>
      <c r="C85">
        <v>5</v>
      </c>
      <c r="D85">
        <v>36</v>
      </c>
      <c r="E85">
        <v>1</v>
      </c>
      <c r="F85">
        <v>21</v>
      </c>
      <c r="G85">
        <v>6178</v>
      </c>
      <c r="I85">
        <f>SUM(B87:F87)/SUM(B85:F85)</f>
        <v>1.5142857142857142</v>
      </c>
    </row>
    <row r="86" spans="1:9" x14ac:dyDescent="0.35">
      <c r="I86">
        <f>G87/G85</f>
        <v>0.97070249271608933</v>
      </c>
    </row>
    <row r="87" spans="1:9" x14ac:dyDescent="0.35">
      <c r="A87" t="s">
        <v>321</v>
      </c>
      <c r="B87">
        <v>302</v>
      </c>
      <c r="C87">
        <v>6</v>
      </c>
      <c r="D87">
        <v>27</v>
      </c>
      <c r="E87">
        <v>8</v>
      </c>
      <c r="F87">
        <v>134</v>
      </c>
      <c r="G87">
        <v>5997</v>
      </c>
    </row>
    <row r="89" spans="1:9" x14ac:dyDescent="0.35">
      <c r="B89" t="s">
        <v>322</v>
      </c>
      <c r="C89" t="s">
        <v>323</v>
      </c>
      <c r="F89" t="s">
        <v>324</v>
      </c>
      <c r="G89" t="s">
        <v>325</v>
      </c>
    </row>
    <row r="90" spans="1:9" x14ac:dyDescent="0.35">
      <c r="A90" t="s">
        <v>314</v>
      </c>
      <c r="E90" t="s">
        <v>314</v>
      </c>
    </row>
    <row r="91" spans="1:9" x14ac:dyDescent="0.35">
      <c r="A91" t="s">
        <v>316</v>
      </c>
      <c r="B91">
        <v>844</v>
      </c>
      <c r="C91">
        <v>3275</v>
      </c>
      <c r="D91">
        <f>SUM(B91:C91)/SUM(D51:D54)</f>
        <v>5.1551939924906136E-2</v>
      </c>
      <c r="E91" t="s">
        <v>316</v>
      </c>
      <c r="F91">
        <v>390</v>
      </c>
      <c r="G91">
        <v>316</v>
      </c>
    </row>
    <row r="92" spans="1:9" x14ac:dyDescent="0.35">
      <c r="A92" t="s">
        <v>183</v>
      </c>
      <c r="C92">
        <v>65</v>
      </c>
      <c r="E92" t="s">
        <v>183</v>
      </c>
      <c r="F92">
        <v>42</v>
      </c>
      <c r="G92">
        <v>17</v>
      </c>
    </row>
    <row r="93" spans="1:9" x14ac:dyDescent="0.35">
      <c r="A93" t="s">
        <v>317</v>
      </c>
      <c r="C93">
        <v>437</v>
      </c>
      <c r="E93" t="s">
        <v>317</v>
      </c>
      <c r="F93">
        <v>6</v>
      </c>
    </row>
    <row r="94" spans="1:9" x14ac:dyDescent="0.35">
      <c r="A94" t="s">
        <v>318</v>
      </c>
      <c r="B94">
        <v>844</v>
      </c>
      <c r="C94">
        <v>2903</v>
      </c>
      <c r="D94">
        <f>SUM(B94:C94)/SUM($C$51:$C$54)</f>
        <v>3.7552615754660255E-2</v>
      </c>
      <c r="E94" t="s">
        <v>318</v>
      </c>
      <c r="F94">
        <v>426</v>
      </c>
      <c r="G94">
        <v>333</v>
      </c>
    </row>
    <row r="95" spans="1:9" x14ac:dyDescent="0.35">
      <c r="A95" t="s">
        <v>183</v>
      </c>
      <c r="C95">
        <v>147</v>
      </c>
      <c r="E95" t="s">
        <v>183</v>
      </c>
      <c r="F95">
        <v>11</v>
      </c>
    </row>
    <row r="96" spans="1:9" x14ac:dyDescent="0.35">
      <c r="A96" t="s">
        <v>317</v>
      </c>
      <c r="C96">
        <v>88</v>
      </c>
      <c r="E96" t="s">
        <v>317</v>
      </c>
      <c r="F96">
        <v>68</v>
      </c>
    </row>
    <row r="97" spans="1:9" x14ac:dyDescent="0.35">
      <c r="A97" t="s">
        <v>319</v>
      </c>
      <c r="B97">
        <v>844</v>
      </c>
      <c r="C97">
        <v>2813</v>
      </c>
      <c r="D97">
        <f>SUM(B97:C97)/SUM($B$51:$B$55)</f>
        <v>5.2999999999999999E-2</v>
      </c>
      <c r="E97" t="s">
        <v>319</v>
      </c>
      <c r="F97">
        <v>369</v>
      </c>
      <c r="G97">
        <v>333</v>
      </c>
    </row>
    <row r="99" spans="1:9" x14ac:dyDescent="0.35">
      <c r="A99" t="s">
        <v>320</v>
      </c>
      <c r="E99" t="s">
        <v>326</v>
      </c>
    </row>
    <row r="100" spans="1:9" x14ac:dyDescent="0.35">
      <c r="A100" t="s">
        <v>316</v>
      </c>
      <c r="B100">
        <v>10</v>
      </c>
      <c r="C100">
        <v>434</v>
      </c>
      <c r="D100">
        <f>SUM(B100:C100)/SUM(B104:C104)</f>
        <v>0.15400624349635797</v>
      </c>
      <c r="E100" t="s">
        <v>318</v>
      </c>
      <c r="F100">
        <v>75</v>
      </c>
      <c r="G100">
        <v>122</v>
      </c>
    </row>
    <row r="101" spans="1:9" x14ac:dyDescent="0.35">
      <c r="A101" t="s">
        <v>318</v>
      </c>
      <c r="B101">
        <v>10</v>
      </c>
      <c r="C101">
        <v>407</v>
      </c>
      <c r="D101">
        <f>SUM(B101:C101)/SUM(B105:C105)</f>
        <v>0.17662007623888182</v>
      </c>
      <c r="E101" t="s">
        <v>319</v>
      </c>
      <c r="F101">
        <v>55</v>
      </c>
      <c r="G101">
        <v>79</v>
      </c>
    </row>
    <row r="102" spans="1:9" x14ac:dyDescent="0.35">
      <c r="A102" t="s">
        <v>319</v>
      </c>
      <c r="B102">
        <v>9</v>
      </c>
      <c r="C102">
        <v>349</v>
      </c>
      <c r="D102">
        <f>SUM(B102:C102)/SUM(B106:C106)</f>
        <v>0.16910722720831364</v>
      </c>
      <c r="G102">
        <f>F105/F101</f>
        <v>1.0363636363636364</v>
      </c>
      <c r="H102">
        <f>G105/G101</f>
        <v>1.518987341772152</v>
      </c>
    </row>
    <row r="103" spans="1:9" x14ac:dyDescent="0.35">
      <c r="A103" t="s">
        <v>327</v>
      </c>
      <c r="E103" t="s">
        <v>327</v>
      </c>
      <c r="G103">
        <f>SUMPRODUCT(F105:G105,G102:H102)/SUM(F105:G105)</f>
        <v>1.3635661485050028</v>
      </c>
    </row>
    <row r="104" spans="1:9" x14ac:dyDescent="0.35">
      <c r="A104" t="s">
        <v>316</v>
      </c>
      <c r="B104">
        <v>804</v>
      </c>
      <c r="C104">
        <v>2079</v>
      </c>
      <c r="D104">
        <f>SUM(B104:C104)/SUM(D51:D54)</f>
        <v>3.6082603254067584E-2</v>
      </c>
      <c r="E104" t="s">
        <v>318</v>
      </c>
      <c r="F104">
        <v>101</v>
      </c>
      <c r="G104">
        <v>199</v>
      </c>
    </row>
    <row r="105" spans="1:9" x14ac:dyDescent="0.35">
      <c r="A105" t="s">
        <v>318</v>
      </c>
      <c r="B105">
        <v>794</v>
      </c>
      <c r="C105">
        <v>1567</v>
      </c>
      <c r="D105">
        <f>SUM(B105:C105)/SUM($C$51:$C$54)</f>
        <v>2.3662056524353579E-2</v>
      </c>
      <c r="E105" t="s">
        <v>319</v>
      </c>
      <c r="F105">
        <v>57</v>
      </c>
      <c r="G105">
        <v>120</v>
      </c>
    </row>
    <row r="106" spans="1:9" x14ac:dyDescent="0.35">
      <c r="A106" t="s">
        <v>319</v>
      </c>
      <c r="B106">
        <v>785</v>
      </c>
      <c r="C106">
        <v>1332</v>
      </c>
      <c r="D106">
        <f>SUM(B106:C106)/SUM($B$51:$B$55)</f>
        <v>3.0681159420289855E-2</v>
      </c>
    </row>
    <row r="107" spans="1:9" x14ac:dyDescent="0.35">
      <c r="A107" t="s">
        <v>328</v>
      </c>
      <c r="F107">
        <f>B104/SUM(B104:C104)</f>
        <v>0.27887617065556713</v>
      </c>
    </row>
    <row r="108" spans="1:9" x14ac:dyDescent="0.35">
      <c r="A108" t="s">
        <v>329</v>
      </c>
      <c r="F108">
        <f>B105/SUM(B105:C105)</f>
        <v>0.33629817873782297</v>
      </c>
    </row>
    <row r="109" spans="1:9" x14ac:dyDescent="0.35">
      <c r="B109">
        <f>B111/C106</f>
        <v>0.10735735735735735</v>
      </c>
      <c r="C109">
        <f>C111/C105</f>
        <v>0.11359285258455648</v>
      </c>
      <c r="D109">
        <f>D111/C104</f>
        <v>9.5238095238095233E-2</v>
      </c>
      <c r="F109">
        <f>B106/SUM(B106:C106)</f>
        <v>0.37080774681152573</v>
      </c>
    </row>
    <row r="110" spans="1:9" x14ac:dyDescent="0.35">
      <c r="A110" t="s">
        <v>330</v>
      </c>
      <c r="B110" t="s">
        <v>288</v>
      </c>
      <c r="C110" t="s">
        <v>331</v>
      </c>
      <c r="D110" t="s">
        <v>290</v>
      </c>
      <c r="G110" t="s">
        <v>288</v>
      </c>
      <c r="H110" t="s">
        <v>289</v>
      </c>
      <c r="I110" t="s">
        <v>290</v>
      </c>
    </row>
    <row r="111" spans="1:9" x14ac:dyDescent="0.35">
      <c r="A111" t="s">
        <v>332</v>
      </c>
      <c r="B111">
        <v>143</v>
      </c>
      <c r="C111">
        <v>178</v>
      </c>
      <c r="D111">
        <v>198</v>
      </c>
      <c r="G111">
        <v>1690</v>
      </c>
      <c r="H111">
        <v>2066</v>
      </c>
      <c r="I111">
        <v>2042</v>
      </c>
    </row>
    <row r="112" spans="1:9" x14ac:dyDescent="0.35">
      <c r="A112" t="s">
        <v>333</v>
      </c>
      <c r="B112">
        <v>3</v>
      </c>
      <c r="D112">
        <v>1</v>
      </c>
      <c r="G112">
        <v>250</v>
      </c>
      <c r="H112">
        <v>268</v>
      </c>
      <c r="I112">
        <v>369</v>
      </c>
    </row>
    <row r="113" spans="1:9" x14ac:dyDescent="0.35">
      <c r="A113" t="s">
        <v>334</v>
      </c>
      <c r="C113">
        <v>17</v>
      </c>
      <c r="D113">
        <v>3</v>
      </c>
      <c r="G113">
        <f>G111/G112</f>
        <v>6.76</v>
      </c>
      <c r="H113">
        <f>H111/H112</f>
        <v>7.7089552238805972</v>
      </c>
      <c r="I113">
        <f>I111/I112</f>
        <v>5.5338753387533872</v>
      </c>
    </row>
    <row r="114" spans="1:9" x14ac:dyDescent="0.35">
      <c r="A114" t="s">
        <v>335</v>
      </c>
      <c r="B114">
        <v>13</v>
      </c>
      <c r="C114">
        <v>48</v>
      </c>
      <c r="D114">
        <v>31</v>
      </c>
    </row>
    <row r="116" spans="1:9" x14ac:dyDescent="0.35">
      <c r="A116" t="s">
        <v>115</v>
      </c>
    </row>
    <row r="117" spans="1:9" x14ac:dyDescent="0.35">
      <c r="B117" t="s">
        <v>290</v>
      </c>
      <c r="C117" t="s">
        <v>331</v>
      </c>
      <c r="D117" t="s">
        <v>288</v>
      </c>
    </row>
    <row r="118" spans="1:9" x14ac:dyDescent="0.35">
      <c r="A118" t="s">
        <v>336</v>
      </c>
      <c r="B118">
        <v>3214</v>
      </c>
      <c r="C118">
        <v>4614</v>
      </c>
      <c r="D118">
        <v>5532</v>
      </c>
    </row>
    <row r="119" spans="1:9" x14ac:dyDescent="0.35">
      <c r="A119" t="s">
        <v>337</v>
      </c>
      <c r="B119">
        <v>609</v>
      </c>
      <c r="C119">
        <v>781</v>
      </c>
      <c r="D119">
        <v>1360</v>
      </c>
    </row>
    <row r="120" spans="1:9" x14ac:dyDescent="0.35">
      <c r="A120" t="s">
        <v>338</v>
      </c>
      <c r="B120">
        <v>274</v>
      </c>
      <c r="C120">
        <v>74</v>
      </c>
      <c r="D120">
        <v>353</v>
      </c>
    </row>
    <row r="122" spans="1:9" x14ac:dyDescent="0.35">
      <c r="A122" t="s">
        <v>339</v>
      </c>
      <c r="B122" t="s">
        <v>290</v>
      </c>
      <c r="C122" t="s">
        <v>289</v>
      </c>
      <c r="D122" t="s">
        <v>288</v>
      </c>
    </row>
    <row r="123" spans="1:9" x14ac:dyDescent="0.35">
      <c r="A123" t="s">
        <v>340</v>
      </c>
      <c r="B123">
        <v>10495</v>
      </c>
      <c r="C123">
        <v>22277</v>
      </c>
      <c r="D123">
        <v>14934</v>
      </c>
    </row>
    <row r="124" spans="1:9" x14ac:dyDescent="0.35">
      <c r="A124" t="s">
        <v>341</v>
      </c>
      <c r="B124">
        <v>711</v>
      </c>
      <c r="C124">
        <v>1063</v>
      </c>
      <c r="D124">
        <v>474</v>
      </c>
    </row>
    <row r="125" spans="1:9" x14ac:dyDescent="0.35">
      <c r="A125" t="s">
        <v>342</v>
      </c>
    </row>
    <row r="126" spans="1:9" x14ac:dyDescent="0.35">
      <c r="A126" t="s">
        <v>343</v>
      </c>
      <c r="B126">
        <v>11762</v>
      </c>
      <c r="C126">
        <v>13595</v>
      </c>
      <c r="D126">
        <v>139</v>
      </c>
    </row>
    <row r="127" spans="1:9" x14ac:dyDescent="0.35">
      <c r="A127" t="s">
        <v>344</v>
      </c>
      <c r="B127">
        <v>601</v>
      </c>
      <c r="C127">
        <v>840</v>
      </c>
      <c r="D127">
        <v>686</v>
      </c>
    </row>
    <row r="128" spans="1:9" x14ac:dyDescent="0.35">
      <c r="A128" t="s">
        <v>340</v>
      </c>
      <c r="B128">
        <v>884</v>
      </c>
      <c r="C128">
        <v>8180</v>
      </c>
      <c r="D128">
        <f>22046+2500</f>
        <v>24546</v>
      </c>
    </row>
    <row r="130" spans="1:4" x14ac:dyDescent="0.35">
      <c r="B130" t="s">
        <v>290</v>
      </c>
      <c r="C130" t="s">
        <v>289</v>
      </c>
      <c r="D130" t="s">
        <v>288</v>
      </c>
    </row>
    <row r="131" spans="1:4" x14ac:dyDescent="0.35">
      <c r="A131" t="s">
        <v>345</v>
      </c>
    </row>
    <row r="132" spans="1:4" x14ac:dyDescent="0.35">
      <c r="A132" t="s">
        <v>328</v>
      </c>
      <c r="B132">
        <v>370</v>
      </c>
      <c r="C132">
        <v>52</v>
      </c>
      <c r="D132">
        <v>910</v>
      </c>
    </row>
    <row r="133" spans="1:4" x14ac:dyDescent="0.35">
      <c r="A133" t="s">
        <v>346</v>
      </c>
    </row>
    <row r="134" spans="1:4" x14ac:dyDescent="0.35">
      <c r="A134" t="s">
        <v>347</v>
      </c>
      <c r="B134">
        <v>1507</v>
      </c>
      <c r="C134">
        <v>1680</v>
      </c>
      <c r="D134">
        <v>1871</v>
      </c>
    </row>
    <row r="135" spans="1:4" x14ac:dyDescent="0.35">
      <c r="A135" t="s">
        <v>348</v>
      </c>
      <c r="B135">
        <v>471</v>
      </c>
      <c r="C135">
        <v>476</v>
      </c>
      <c r="D135">
        <v>516</v>
      </c>
    </row>
    <row r="136" spans="1:4" x14ac:dyDescent="0.35">
      <c r="A136" t="s">
        <v>349</v>
      </c>
      <c r="D136">
        <v>927</v>
      </c>
    </row>
    <row r="137" spans="1:4" x14ac:dyDescent="0.35">
      <c r="A137" t="s">
        <v>350</v>
      </c>
    </row>
    <row r="138" spans="1:4" x14ac:dyDescent="0.35">
      <c r="A138" t="s">
        <v>328</v>
      </c>
      <c r="B138">
        <v>22522</v>
      </c>
      <c r="C138">
        <v>16470</v>
      </c>
      <c r="D138">
        <v>15396</v>
      </c>
    </row>
    <row r="139" spans="1:4" x14ac:dyDescent="0.35">
      <c r="A139" t="s">
        <v>346</v>
      </c>
      <c r="B139">
        <v>2243</v>
      </c>
      <c r="C139">
        <v>4070</v>
      </c>
      <c r="D139">
        <v>723</v>
      </c>
    </row>
    <row r="141" spans="1:4" x14ac:dyDescent="0.35">
      <c r="A141" t="s">
        <v>351</v>
      </c>
    </row>
    <row r="142" spans="1:4" x14ac:dyDescent="0.35">
      <c r="A142" t="s">
        <v>352</v>
      </c>
    </row>
    <row r="143" spans="1:4" x14ac:dyDescent="0.35">
      <c r="A143" t="s">
        <v>353</v>
      </c>
      <c r="B143">
        <v>27390</v>
      </c>
      <c r="C143">
        <v>39764</v>
      </c>
      <c r="D143">
        <v>20769</v>
      </c>
    </row>
    <row r="144" spans="1:4" x14ac:dyDescent="0.35">
      <c r="A144" t="s">
        <v>354</v>
      </c>
      <c r="B144">
        <v>5730</v>
      </c>
      <c r="C144">
        <v>3008</v>
      </c>
    </row>
    <row r="146" spans="1:11" x14ac:dyDescent="0.35">
      <c r="A146" t="s">
        <v>355</v>
      </c>
      <c r="B146" t="s">
        <v>290</v>
      </c>
      <c r="C146" t="s">
        <v>289</v>
      </c>
      <c r="D146" t="s">
        <v>288</v>
      </c>
    </row>
    <row r="147" spans="1:11" x14ac:dyDescent="0.35">
      <c r="A147" t="s">
        <v>79</v>
      </c>
      <c r="B147">
        <v>79903</v>
      </c>
      <c r="C147">
        <v>99778</v>
      </c>
      <c r="D147">
        <v>69004</v>
      </c>
    </row>
    <row r="148" spans="1:11" x14ac:dyDescent="0.35">
      <c r="A148" t="s">
        <v>294</v>
      </c>
      <c r="B148">
        <v>39662.161862341374</v>
      </c>
      <c r="C148">
        <v>43323.587360282378</v>
      </c>
      <c r="D148">
        <v>32424.586603916294</v>
      </c>
      <c r="E148">
        <v>29577</v>
      </c>
      <c r="F148">
        <v>32804</v>
      </c>
      <c r="G148">
        <v>21247</v>
      </c>
      <c r="H148" t="s">
        <v>161</v>
      </c>
    </row>
    <row r="149" spans="1:11" x14ac:dyDescent="0.35">
      <c r="A149" t="s">
        <v>165</v>
      </c>
      <c r="B149">
        <v>56555.838137658626</v>
      </c>
      <c r="C149">
        <v>65522.412639717622</v>
      </c>
      <c r="D149">
        <v>51644.413396083706</v>
      </c>
      <c r="E149">
        <v>10764</v>
      </c>
      <c r="F149">
        <v>9220</v>
      </c>
      <c r="G149">
        <v>6594</v>
      </c>
      <c r="H149" t="s">
        <v>584</v>
      </c>
    </row>
    <row r="150" spans="1:11" x14ac:dyDescent="0.35">
      <c r="E150">
        <v>37783</v>
      </c>
      <c r="F150">
        <v>45892</v>
      </c>
      <c r="G150">
        <v>32881</v>
      </c>
      <c r="H150" t="s">
        <v>585</v>
      </c>
    </row>
    <row r="151" spans="1:11" x14ac:dyDescent="0.35">
      <c r="E151">
        <v>6939</v>
      </c>
      <c r="F151">
        <v>6430</v>
      </c>
      <c r="G151">
        <v>6397</v>
      </c>
      <c r="H151" t="s">
        <v>586</v>
      </c>
      <c r="J151">
        <v>2107</v>
      </c>
      <c r="K151">
        <f>J151/J152</f>
        <v>0.59637701669968868</v>
      </c>
    </row>
    <row r="152" spans="1:11" x14ac:dyDescent="0.35">
      <c r="E152">
        <v>11155</v>
      </c>
      <c r="F152">
        <v>14500</v>
      </c>
      <c r="G152">
        <v>16950</v>
      </c>
      <c r="H152" t="s">
        <v>587</v>
      </c>
      <c r="J152">
        <f>2107+1426</f>
        <v>3533</v>
      </c>
    </row>
    <row r="153" spans="1:11" x14ac:dyDescent="0.35">
      <c r="A153" t="s">
        <v>307</v>
      </c>
      <c r="B153">
        <v>4853</v>
      </c>
      <c r="C153">
        <v>7357</v>
      </c>
      <c r="D153">
        <v>6726</v>
      </c>
    </row>
    <row r="154" spans="1:11" x14ac:dyDescent="0.35">
      <c r="A154" t="s">
        <v>114</v>
      </c>
      <c r="B154">
        <v>233</v>
      </c>
      <c r="C154">
        <v>243</v>
      </c>
      <c r="D154">
        <v>164</v>
      </c>
    </row>
    <row r="155" spans="1:11" x14ac:dyDescent="0.35">
      <c r="A155" t="s">
        <v>356</v>
      </c>
      <c r="B155">
        <v>4097</v>
      </c>
      <c r="C155">
        <v>5469</v>
      </c>
      <c r="D155">
        <v>7245</v>
      </c>
    </row>
    <row r="156" spans="1:11" x14ac:dyDescent="0.35">
      <c r="A156" t="s">
        <v>357</v>
      </c>
      <c r="B156">
        <v>336</v>
      </c>
      <c r="C156">
        <v>320</v>
      </c>
      <c r="D156">
        <v>180</v>
      </c>
      <c r="E156">
        <v>46081.564070096822</v>
      </c>
      <c r="F156">
        <v>48822.183454253507</v>
      </c>
      <c r="G156">
        <v>36357.096652034044</v>
      </c>
    </row>
    <row r="157" spans="1:11" x14ac:dyDescent="0.35">
      <c r="A157" t="s">
        <v>358</v>
      </c>
      <c r="B157">
        <v>-125</v>
      </c>
      <c r="C157">
        <v>-2648</v>
      </c>
      <c r="D157">
        <v>25</v>
      </c>
      <c r="E157">
        <v>50136.435929903178</v>
      </c>
      <c r="F157">
        <v>60023.816545746493</v>
      </c>
      <c r="G157">
        <v>47711.903347965956</v>
      </c>
    </row>
    <row r="158" spans="1:11" x14ac:dyDescent="0.35">
      <c r="A158" t="s">
        <v>359</v>
      </c>
      <c r="C158">
        <v>-57</v>
      </c>
      <c r="D158">
        <v>8233</v>
      </c>
    </row>
    <row r="160" spans="1:11" x14ac:dyDescent="0.35">
      <c r="A160" t="s">
        <v>360</v>
      </c>
    </row>
    <row r="161" spans="1:5" x14ac:dyDescent="0.35">
      <c r="A161">
        <v>2026</v>
      </c>
      <c r="B161">
        <v>104</v>
      </c>
    </row>
    <row r="162" spans="1:5" x14ac:dyDescent="0.35">
      <c r="A162">
        <v>2027</v>
      </c>
      <c r="B162">
        <v>3870</v>
      </c>
    </row>
    <row r="163" spans="1:5" x14ac:dyDescent="0.35">
      <c r="A163">
        <v>2028</v>
      </c>
      <c r="B163">
        <v>5553</v>
      </c>
    </row>
    <row r="164" spans="1:5" x14ac:dyDescent="0.35">
      <c r="A164">
        <v>2029</v>
      </c>
      <c r="B164">
        <v>3412</v>
      </c>
    </row>
    <row r="165" spans="1:5" x14ac:dyDescent="0.35">
      <c r="A165">
        <v>2030</v>
      </c>
      <c r="B165">
        <v>4886</v>
      </c>
    </row>
    <row r="166" spans="1:5" x14ac:dyDescent="0.35">
      <c r="A166">
        <v>2031</v>
      </c>
      <c r="B166">
        <v>3001</v>
      </c>
    </row>
    <row r="167" spans="1:5" x14ac:dyDescent="0.35">
      <c r="A167">
        <v>2032</v>
      </c>
      <c r="B167">
        <v>664</v>
      </c>
    </row>
    <row r="168" spans="1:5" x14ac:dyDescent="0.35">
      <c r="A168">
        <v>2033</v>
      </c>
      <c r="B168">
        <v>18</v>
      </c>
    </row>
    <row r="169" spans="1:5" x14ac:dyDescent="0.35">
      <c r="A169" t="s">
        <v>361</v>
      </c>
      <c r="B169">
        <v>1940</v>
      </c>
    </row>
    <row r="170" spans="1:5" x14ac:dyDescent="0.35">
      <c r="B170">
        <v>7830</v>
      </c>
    </row>
    <row r="171" spans="1:5" x14ac:dyDescent="0.35">
      <c r="A171" t="s">
        <v>258</v>
      </c>
      <c r="B171" s="104">
        <v>31278</v>
      </c>
    </row>
    <row r="172" spans="1:5" x14ac:dyDescent="0.35">
      <c r="B172" t="s">
        <v>290</v>
      </c>
      <c r="C172" t="s">
        <v>289</v>
      </c>
      <c r="D172" t="s">
        <v>362</v>
      </c>
    </row>
    <row r="173" spans="1:5" x14ac:dyDescent="0.35">
      <c r="A173" s="3" t="s">
        <v>363</v>
      </c>
      <c r="B173" s="33">
        <v>0.27</v>
      </c>
      <c r="C173" s="32">
        <v>0.2747</v>
      </c>
      <c r="D173" s="32">
        <v>0.27910000000000001</v>
      </c>
      <c r="E173" s="105"/>
    </row>
    <row r="175" spans="1:5" x14ac:dyDescent="0.35">
      <c r="A175" t="s">
        <v>381</v>
      </c>
    </row>
    <row r="176" spans="1:5" x14ac:dyDescent="0.35">
      <c r="A176" s="104" t="s">
        <v>382</v>
      </c>
      <c r="B176" s="104" t="s">
        <v>290</v>
      </c>
      <c r="C176" s="104" t="s">
        <v>289</v>
      </c>
      <c r="D176" s="104" t="s">
        <v>362</v>
      </c>
    </row>
    <row r="177" spans="1:4" x14ac:dyDescent="0.35">
      <c r="A177" s="104" t="s">
        <v>383</v>
      </c>
    </row>
    <row r="178" spans="1:4" x14ac:dyDescent="0.35">
      <c r="A178" t="s">
        <v>457</v>
      </c>
      <c r="B178">
        <v>8465</v>
      </c>
      <c r="C178">
        <v>9409</v>
      </c>
      <c r="D178">
        <v>6497</v>
      </c>
    </row>
    <row r="179" spans="1:4" x14ac:dyDescent="0.35">
      <c r="A179" t="s">
        <v>384</v>
      </c>
      <c r="B179">
        <v>2883</v>
      </c>
      <c r="C179">
        <v>2361</v>
      </c>
      <c r="D179">
        <v>2117</v>
      </c>
    </row>
    <row r="180" spans="1:4" x14ac:dyDescent="0.35">
      <c r="A180" t="s">
        <v>385</v>
      </c>
      <c r="B180">
        <v>443</v>
      </c>
      <c r="C180">
        <v>443</v>
      </c>
      <c r="D180">
        <v>0</v>
      </c>
    </row>
    <row r="181" spans="1:4" x14ac:dyDescent="0.35">
      <c r="A181" s="104" t="s">
        <v>386</v>
      </c>
      <c r="B181">
        <v>42</v>
      </c>
      <c r="C181">
        <v>396</v>
      </c>
      <c r="D181">
        <v>438</v>
      </c>
    </row>
    <row r="182" spans="1:4" x14ac:dyDescent="0.35">
      <c r="A182" t="s">
        <v>387</v>
      </c>
      <c r="B182">
        <v>1485</v>
      </c>
      <c r="C182">
        <v>9020</v>
      </c>
      <c r="D182">
        <v>25232</v>
      </c>
    </row>
    <row r="183" spans="1:4" x14ac:dyDescent="0.35">
      <c r="A183" t="s">
        <v>350</v>
      </c>
      <c r="B183">
        <v>14306</v>
      </c>
      <c r="C183">
        <v>13854</v>
      </c>
      <c r="D183">
        <v>408</v>
      </c>
    </row>
    <row r="184" spans="1:4" x14ac:dyDescent="0.35">
      <c r="A184" t="s">
        <v>388</v>
      </c>
      <c r="B184">
        <v>85</v>
      </c>
      <c r="C184">
        <v>119</v>
      </c>
      <c r="D184">
        <v>112</v>
      </c>
    </row>
    <row r="185" spans="1:4" x14ac:dyDescent="0.35">
      <c r="A185" t="s">
        <v>389</v>
      </c>
      <c r="B185">
        <v>5797</v>
      </c>
      <c r="C185">
        <v>6585</v>
      </c>
      <c r="D185">
        <v>6125</v>
      </c>
    </row>
    <row r="186" spans="1:4" x14ac:dyDescent="0.35">
      <c r="A186" t="s">
        <v>390</v>
      </c>
      <c r="B186">
        <v>6289</v>
      </c>
      <c r="C186">
        <v>7567</v>
      </c>
      <c r="D186">
        <v>2703</v>
      </c>
    </row>
    <row r="188" spans="1:4" x14ac:dyDescent="0.35">
      <c r="A188" s="104" t="s">
        <v>391</v>
      </c>
    </row>
    <row r="189" spans="1:4" x14ac:dyDescent="0.35">
      <c r="A189" t="s">
        <v>387</v>
      </c>
      <c r="B189">
        <v>11206</v>
      </c>
      <c r="C189">
        <v>23340</v>
      </c>
      <c r="D189">
        <v>15908</v>
      </c>
    </row>
    <row r="190" spans="1:4" x14ac:dyDescent="0.35">
      <c r="A190" t="s">
        <v>392</v>
      </c>
      <c r="B190">
        <v>12378</v>
      </c>
      <c r="C190">
        <v>16507</v>
      </c>
      <c r="D190">
        <v>12969</v>
      </c>
    </row>
    <row r="191" spans="1:4" x14ac:dyDescent="0.35">
      <c r="A191" t="s">
        <v>351</v>
      </c>
      <c r="B191">
        <v>33120</v>
      </c>
      <c r="C191">
        <v>42772</v>
      </c>
      <c r="D191">
        <v>20769</v>
      </c>
    </row>
    <row r="192" spans="1:4" x14ac:dyDescent="0.35">
      <c r="A192" t="s">
        <v>393</v>
      </c>
      <c r="B192">
        <v>37275</v>
      </c>
      <c r="C192">
        <v>25227</v>
      </c>
      <c r="D192">
        <v>94803</v>
      </c>
    </row>
    <row r="193" spans="1:4" x14ac:dyDescent="0.35">
      <c r="A193" t="s">
        <v>350</v>
      </c>
      <c r="B193">
        <v>33577</v>
      </c>
      <c r="C193">
        <v>20564</v>
      </c>
      <c r="D193">
        <v>20532</v>
      </c>
    </row>
    <row r="194" spans="1:4" x14ac:dyDescent="0.35">
      <c r="A194" t="s">
        <v>394</v>
      </c>
      <c r="B194">
        <v>57</v>
      </c>
      <c r="C194">
        <v>51</v>
      </c>
      <c r="D194">
        <v>1018</v>
      </c>
    </row>
    <row r="195" spans="1:4" x14ac:dyDescent="0.35">
      <c r="A195" t="s">
        <v>395</v>
      </c>
      <c r="B195">
        <v>12250</v>
      </c>
      <c r="C195">
        <v>8713</v>
      </c>
      <c r="D195">
        <v>4846</v>
      </c>
    </row>
    <row r="197" spans="1:4" x14ac:dyDescent="0.35">
      <c r="A197" s="104" t="s">
        <v>18</v>
      </c>
    </row>
    <row r="198" spans="1:4" x14ac:dyDescent="0.35">
      <c r="A198" t="s">
        <v>396</v>
      </c>
      <c r="B198">
        <v>634</v>
      </c>
      <c r="C198">
        <v>636</v>
      </c>
      <c r="D198">
        <v>638</v>
      </c>
    </row>
    <row r="199" spans="1:4" x14ac:dyDescent="0.35">
      <c r="A199" t="s">
        <v>397</v>
      </c>
      <c r="B199">
        <v>129522</v>
      </c>
      <c r="C199">
        <v>132630</v>
      </c>
      <c r="D199">
        <v>149629</v>
      </c>
    </row>
    <row r="200" spans="1:4" x14ac:dyDescent="0.35">
      <c r="A200" t="s">
        <v>398</v>
      </c>
      <c r="B200">
        <v>-227</v>
      </c>
      <c r="C200">
        <v>-282</v>
      </c>
      <c r="D200">
        <v>-296</v>
      </c>
    </row>
    <row r="202" spans="1:4" x14ac:dyDescent="0.35">
      <c r="A202" s="104" t="s">
        <v>399</v>
      </c>
    </row>
    <row r="203" spans="1:4" x14ac:dyDescent="0.35">
      <c r="A203" s="104" t="s">
        <v>400</v>
      </c>
    </row>
    <row r="204" spans="1:4" x14ac:dyDescent="0.35">
      <c r="A204" t="s">
        <v>401</v>
      </c>
      <c r="B204">
        <v>1876</v>
      </c>
      <c r="C204">
        <v>1449</v>
      </c>
      <c r="D204">
        <v>1214</v>
      </c>
    </row>
    <row r="205" spans="1:4" x14ac:dyDescent="0.35">
      <c r="A205" t="s">
        <v>402</v>
      </c>
      <c r="B205">
        <v>2367</v>
      </c>
      <c r="C205">
        <v>518</v>
      </c>
      <c r="D205">
        <v>376</v>
      </c>
    </row>
    <row r="206" spans="1:4" x14ac:dyDescent="0.35">
      <c r="A206" t="s">
        <v>403</v>
      </c>
      <c r="B206">
        <v>617</v>
      </c>
      <c r="C206">
        <v>1287</v>
      </c>
      <c r="D206">
        <v>1052</v>
      </c>
    </row>
    <row r="208" spans="1:4" x14ac:dyDescent="0.35">
      <c r="A208" s="104" t="s">
        <v>404</v>
      </c>
    </row>
    <row r="209" spans="1:4" x14ac:dyDescent="0.35">
      <c r="A209" t="s">
        <v>405</v>
      </c>
      <c r="B209">
        <v>20</v>
      </c>
      <c r="C209">
        <v>0</v>
      </c>
      <c r="D209">
        <v>48</v>
      </c>
    </row>
    <row r="210" spans="1:4" x14ac:dyDescent="0.35">
      <c r="A210" t="s">
        <v>406</v>
      </c>
      <c r="B210">
        <v>337</v>
      </c>
      <c r="C210">
        <v>317</v>
      </c>
      <c r="D210">
        <v>342</v>
      </c>
    </row>
    <row r="211" spans="1:4" x14ac:dyDescent="0.35">
      <c r="A211" t="s">
        <v>407</v>
      </c>
      <c r="B211">
        <v>8589</v>
      </c>
      <c r="C211">
        <v>6842</v>
      </c>
      <c r="D211">
        <v>7409</v>
      </c>
    </row>
    <row r="212" spans="1:4" x14ac:dyDescent="0.35">
      <c r="A212" t="s">
        <v>408</v>
      </c>
      <c r="B212">
        <v>27631</v>
      </c>
      <c r="C212">
        <v>34888</v>
      </c>
      <c r="D212">
        <v>47842</v>
      </c>
    </row>
    <row r="213" spans="1:4" x14ac:dyDescent="0.35">
      <c r="A213" t="s">
        <v>456</v>
      </c>
      <c r="B213">
        <v>2528</v>
      </c>
      <c r="C213">
        <v>2624</v>
      </c>
      <c r="D213">
        <v>1757</v>
      </c>
    </row>
    <row r="214" spans="1:4" x14ac:dyDescent="0.35">
      <c r="A214" t="s">
        <v>409</v>
      </c>
      <c r="B214">
        <v>4236</v>
      </c>
      <c r="C214">
        <v>3306</v>
      </c>
      <c r="D214">
        <v>2151</v>
      </c>
    </row>
    <row r="215" spans="1:4" x14ac:dyDescent="0.35">
      <c r="A215" t="s">
        <v>455</v>
      </c>
      <c r="B215">
        <v>1528</v>
      </c>
      <c r="C215">
        <v>2713</v>
      </c>
      <c r="D215">
        <v>2315</v>
      </c>
    </row>
    <row r="217" spans="1:4" x14ac:dyDescent="0.35">
      <c r="A217" s="104" t="s">
        <v>410</v>
      </c>
      <c r="B217" s="104" t="s">
        <v>290</v>
      </c>
      <c r="C217" s="104" t="s">
        <v>289</v>
      </c>
      <c r="D217" s="104" t="s">
        <v>362</v>
      </c>
    </row>
    <row r="218" spans="1:4" x14ac:dyDescent="0.35">
      <c r="A218" s="104" t="s">
        <v>431</v>
      </c>
      <c r="B218" s="104"/>
      <c r="C218" s="104"/>
      <c r="D218" s="104"/>
    </row>
    <row r="219" spans="1:4" x14ac:dyDescent="0.35">
      <c r="A219" t="s">
        <v>432</v>
      </c>
      <c r="B219">
        <v>-17429</v>
      </c>
      <c r="C219">
        <v>-13904</v>
      </c>
      <c r="D219">
        <v>-6452</v>
      </c>
    </row>
    <row r="220" spans="1:4" x14ac:dyDescent="0.35">
      <c r="A220" t="s">
        <v>433</v>
      </c>
      <c r="B220">
        <v>4853</v>
      </c>
      <c r="C220">
        <v>7357</v>
      </c>
      <c r="D220">
        <v>6726</v>
      </c>
    </row>
    <row r="221" spans="1:4" x14ac:dyDescent="0.35">
      <c r="A221" t="s">
        <v>336</v>
      </c>
      <c r="B221">
        <v>-3798</v>
      </c>
      <c r="C221">
        <v>-5334</v>
      </c>
      <c r="D221">
        <v>-6801</v>
      </c>
    </row>
    <row r="222" spans="1:4" x14ac:dyDescent="0.35">
      <c r="A222" t="s">
        <v>434</v>
      </c>
      <c r="B222">
        <v>198</v>
      </c>
      <c r="C222">
        <v>178</v>
      </c>
      <c r="D222">
        <v>143</v>
      </c>
    </row>
    <row r="223" spans="1:4" x14ac:dyDescent="0.35">
      <c r="A223" t="s">
        <v>413</v>
      </c>
      <c r="B223">
        <v>14558</v>
      </c>
      <c r="C223">
        <v>14658</v>
      </c>
      <c r="D223">
        <v>13078</v>
      </c>
    </row>
    <row r="224" spans="1:4" x14ac:dyDescent="0.35">
      <c r="A224" t="s">
        <v>436</v>
      </c>
      <c r="B224">
        <v>0</v>
      </c>
      <c r="C224">
        <v>0</v>
      </c>
      <c r="D224">
        <v>-13484</v>
      </c>
    </row>
    <row r="225" spans="1:4" x14ac:dyDescent="0.35">
      <c r="A225" t="s">
        <v>414</v>
      </c>
      <c r="B225">
        <v>1047</v>
      </c>
      <c r="C225">
        <v>4787</v>
      </c>
      <c r="D225">
        <v>6726</v>
      </c>
    </row>
    <row r="227" spans="1:4" x14ac:dyDescent="0.35">
      <c r="A227" t="s">
        <v>435</v>
      </c>
      <c r="B227">
        <v>6489</v>
      </c>
      <c r="C227">
        <v>-149</v>
      </c>
      <c r="D227">
        <v>-1329</v>
      </c>
    </row>
    <row r="228" spans="1:4" x14ac:dyDescent="0.35">
      <c r="A228" t="s">
        <v>437</v>
      </c>
      <c r="B228">
        <v>-1762</v>
      </c>
      <c r="C228">
        <v>-1085</v>
      </c>
      <c r="D228">
        <v>180</v>
      </c>
    </row>
    <row r="230" spans="1:4" x14ac:dyDescent="0.35">
      <c r="A230" s="104" t="s">
        <v>438</v>
      </c>
    </row>
    <row r="231" spans="1:4" x14ac:dyDescent="0.35">
      <c r="A231" t="s">
        <v>439</v>
      </c>
      <c r="B231">
        <v>-7052</v>
      </c>
      <c r="C231">
        <v>-8217</v>
      </c>
      <c r="D231">
        <v>-3219</v>
      </c>
    </row>
    <row r="232" spans="1:4" x14ac:dyDescent="0.35">
      <c r="A232" t="s">
        <v>440</v>
      </c>
      <c r="B232">
        <v>85</v>
      </c>
      <c r="C232">
        <v>96</v>
      </c>
      <c r="D232">
        <v>53</v>
      </c>
    </row>
    <row r="233" spans="1:4" x14ac:dyDescent="0.35">
      <c r="A233" t="s">
        <v>441</v>
      </c>
      <c r="B233">
        <v>30142</v>
      </c>
      <c r="C233">
        <v>6574</v>
      </c>
      <c r="D233">
        <v>-41617</v>
      </c>
    </row>
    <row r="234" spans="1:4" x14ac:dyDescent="0.35">
      <c r="A234" t="s">
        <v>442</v>
      </c>
      <c r="B234">
        <v>0</v>
      </c>
      <c r="C234">
        <v>0</v>
      </c>
      <c r="D234">
        <v>20036</v>
      </c>
    </row>
    <row r="235" spans="1:4" x14ac:dyDescent="0.35">
      <c r="A235" t="s">
        <v>422</v>
      </c>
      <c r="B235">
        <v>3080</v>
      </c>
      <c r="C235">
        <v>4727</v>
      </c>
      <c r="D235">
        <v>4318</v>
      </c>
    </row>
    <row r="237" spans="1:4" x14ac:dyDescent="0.35">
      <c r="A237" s="104" t="s">
        <v>443</v>
      </c>
    </row>
    <row r="238" spans="1:4" x14ac:dyDescent="0.35">
      <c r="A238" t="s">
        <v>444</v>
      </c>
      <c r="B238">
        <v>7</v>
      </c>
      <c r="C238">
        <v>13</v>
      </c>
      <c r="D238">
        <v>16</v>
      </c>
    </row>
    <row r="239" spans="1:4" x14ac:dyDescent="0.35">
      <c r="A239" t="s">
        <v>445</v>
      </c>
      <c r="B239">
        <v>-10561</v>
      </c>
    </row>
    <row r="240" spans="1:4" x14ac:dyDescent="0.35">
      <c r="A240" t="s">
        <v>434</v>
      </c>
      <c r="B240">
        <v>-199</v>
      </c>
      <c r="C240">
        <v>-179</v>
      </c>
      <c r="D240">
        <v>-146</v>
      </c>
    </row>
    <row r="241" spans="1:4" x14ac:dyDescent="0.35">
      <c r="A241" t="s">
        <v>446</v>
      </c>
      <c r="B241">
        <v>-440</v>
      </c>
      <c r="C241">
        <v>-341</v>
      </c>
      <c r="D241">
        <v>-318</v>
      </c>
    </row>
    <row r="242" spans="1:4" x14ac:dyDescent="0.35">
      <c r="A242" t="s">
        <v>451</v>
      </c>
      <c r="B242">
        <v>70</v>
      </c>
      <c r="C242">
        <v>286</v>
      </c>
      <c r="D242">
        <v>-79</v>
      </c>
    </row>
    <row r="244" spans="1:4" x14ac:dyDescent="0.35">
      <c r="A244" t="s">
        <v>453</v>
      </c>
      <c r="B244">
        <v>23</v>
      </c>
      <c r="C244">
        <v>205</v>
      </c>
      <c r="D244">
        <v>118</v>
      </c>
    </row>
    <row r="246" spans="1:4" x14ac:dyDescent="0.35">
      <c r="A246" t="s">
        <v>496</v>
      </c>
      <c r="B246" t="s">
        <v>288</v>
      </c>
    </row>
    <row r="247" spans="1:4" x14ac:dyDescent="0.35">
      <c r="A247" t="s">
        <v>497</v>
      </c>
      <c r="B247">
        <v>39347</v>
      </c>
    </row>
    <row r="248" spans="1:4" x14ac:dyDescent="0.35">
      <c r="A248" t="s">
        <v>498</v>
      </c>
      <c r="B248">
        <v>8495</v>
      </c>
    </row>
    <row r="250" spans="1:4" x14ac:dyDescent="0.35">
      <c r="A250" t="s">
        <v>18</v>
      </c>
      <c r="B250" t="s">
        <v>288</v>
      </c>
    </row>
    <row r="251" spans="1:4" x14ac:dyDescent="0.35">
      <c r="A251" t="s">
        <v>505</v>
      </c>
      <c r="B251">
        <v>638</v>
      </c>
    </row>
    <row r="252" spans="1:4" x14ac:dyDescent="0.35">
      <c r="A252" t="s">
        <v>506</v>
      </c>
      <c r="B252">
        <v>267722</v>
      </c>
    </row>
    <row r="253" spans="1:4" x14ac:dyDescent="0.35">
      <c r="A253" t="s">
        <v>507</v>
      </c>
      <c r="B253">
        <v>6479</v>
      </c>
    </row>
    <row r="254" spans="1:4" x14ac:dyDescent="0.35">
      <c r="A254" t="s">
        <v>500</v>
      </c>
      <c r="B254">
        <v>-126621</v>
      </c>
    </row>
    <row r="255" spans="1:4" x14ac:dyDescent="0.35">
      <c r="A255" t="s">
        <v>508</v>
      </c>
      <c r="B255">
        <v>16</v>
      </c>
    </row>
    <row r="256" spans="1:4" x14ac:dyDescent="0.35">
      <c r="A256" t="s">
        <v>510</v>
      </c>
      <c r="B256">
        <v>1971</v>
      </c>
    </row>
    <row r="257" spans="1:11" x14ac:dyDescent="0.35">
      <c r="A257" t="s">
        <v>509</v>
      </c>
      <c r="B257">
        <v>62</v>
      </c>
    </row>
    <row r="258" spans="1:11" x14ac:dyDescent="0.35">
      <c r="A258" t="s">
        <v>374</v>
      </c>
      <c r="B258">
        <v>-296</v>
      </c>
    </row>
    <row r="260" spans="1:11" x14ac:dyDescent="0.35">
      <c r="A260" t="s">
        <v>594</v>
      </c>
      <c r="B260" t="s">
        <v>288</v>
      </c>
      <c r="C260">
        <v>648</v>
      </c>
    </row>
    <row r="263" spans="1:11" x14ac:dyDescent="0.35">
      <c r="A263" t="s">
        <v>785</v>
      </c>
    </row>
    <row r="264" spans="1:11" x14ac:dyDescent="0.35">
      <c r="B264">
        <v>2026</v>
      </c>
      <c r="C264">
        <v>2027</v>
      </c>
      <c r="D264">
        <v>2028</v>
      </c>
      <c r="E264">
        <v>2029</v>
      </c>
      <c r="F264">
        <v>2030</v>
      </c>
      <c r="G264">
        <v>2031</v>
      </c>
      <c r="H264">
        <v>2032</v>
      </c>
      <c r="I264">
        <v>2033</v>
      </c>
      <c r="J264">
        <v>2034</v>
      </c>
      <c r="K264">
        <v>2035</v>
      </c>
    </row>
    <row r="265" spans="1:11" x14ac:dyDescent="0.35">
      <c r="A265" t="s">
        <v>22</v>
      </c>
      <c r="B265" s="32">
        <f>SUM(V2,V5)/SUM(V2:V5)</f>
        <v>0.57970842716605431</v>
      </c>
      <c r="C265" s="32">
        <f>Schedules!K47/'Financial Statements'!K11</f>
        <v>0.56942469175000499</v>
      </c>
      <c r="D265" s="32">
        <f>Schedules!L47/'Financial Statements'!L11</f>
        <v>0.5591503283892113</v>
      </c>
      <c r="E265" s="32">
        <f>Schedules!M47/'Financial Statements'!M11</f>
        <v>0.54795599915147275</v>
      </c>
      <c r="F265" s="32">
        <f>Schedules!N47/'Financial Statements'!N11</f>
        <v>0.53615662353453319</v>
      </c>
      <c r="G265" s="32">
        <f>Schedules!O47/'Financial Statements'!O11</f>
        <v>0.52867261977934465</v>
      </c>
      <c r="H265" s="32">
        <f>Schedules!P47/'Financial Statements'!P11</f>
        <v>0.54078274773573087</v>
      </c>
      <c r="I265" s="32">
        <f>Schedules!Q47/'Financial Statements'!Q11</f>
        <v>0.53468576801284162</v>
      </c>
      <c r="J265" s="32">
        <f>Schedules!R47/'Financial Statements'!R11</f>
        <v>0.53084352066265428</v>
      </c>
      <c r="K265" s="32">
        <f>Schedules!S47/'Financial Statements'!S11</f>
        <v>0.52835132050634925</v>
      </c>
    </row>
    <row r="266" spans="1:11" x14ac:dyDescent="0.35">
      <c r="A266" t="s">
        <v>786</v>
      </c>
      <c r="B266" s="32">
        <f>V3/SUM(V2:V5)</f>
        <v>0.30745525660779899</v>
      </c>
      <c r="C266" s="32">
        <f>Schedules!K65/'Financial Statements'!K11</f>
        <v>0.3275826841598542</v>
      </c>
      <c r="D266" s="32">
        <f>Schedules!L65/'Financial Statements'!L11</f>
        <v>0.34947691477623138</v>
      </c>
      <c r="E266" s="32">
        <f>Schedules!M65/'Financial Statements'!M11</f>
        <v>0.36899304391802812</v>
      </c>
      <c r="F266" s="32">
        <f>Schedules!N65/'Financial Statements'!N11</f>
        <v>0.38806879475832856</v>
      </c>
      <c r="G266" s="32">
        <f>Schedules!O65/'Financial Statements'!O11</f>
        <v>0.39983766748317795</v>
      </c>
      <c r="H266" s="32">
        <f>Schedules!P65/'Financial Statements'!P11</f>
        <v>0.39393562883631811</v>
      </c>
      <c r="I266" s="32">
        <f>Schedules!Q65/'Financial Statements'!Q11</f>
        <v>0.40311777166891083</v>
      </c>
      <c r="J266" s="32">
        <f>Schedules!R65/'Financial Statements'!R11</f>
        <v>0.40900762682575154</v>
      </c>
      <c r="K266" s="32">
        <f>Schedules!S65/'Financial Statements'!S11</f>
        <v>0.41386520568372276</v>
      </c>
    </row>
    <row r="267" spans="1:11" x14ac:dyDescent="0.35">
      <c r="A267" t="s">
        <v>23</v>
      </c>
      <c r="B267" s="32">
        <f>V4/SUM(V2:V5)</f>
        <v>0.11283631622614673</v>
      </c>
      <c r="C267" s="32">
        <f>Schedules!K74/'Financial Statements'!K11</f>
        <v>0.10299262409014072</v>
      </c>
      <c r="D267" s="32">
        <f>Schedules!L74/'Financial Statements'!L11</f>
        <v>9.1372756834557242E-2</v>
      </c>
      <c r="E267" s="32">
        <f>Schedules!M74/'Financial Statements'!M11</f>
        <v>8.3050956930499062E-2</v>
      </c>
      <c r="F267" s="32">
        <f>Schedules!N74/'Financial Statements'!N11</f>
        <v>7.5774581707138425E-2</v>
      </c>
      <c r="G267" s="32">
        <f>Schedules!O74/'Financial Statements'!O11</f>
        <v>7.1489712737477423E-2</v>
      </c>
      <c r="H267" s="32">
        <f>Schedules!P74/'Financial Statements'!P11</f>
        <v>6.5281623427951074E-2</v>
      </c>
      <c r="I267" s="32">
        <f>Schedules!Q74/'Financial Statements'!Q11</f>
        <v>6.2196460318247604E-2</v>
      </c>
      <c r="J267" s="32">
        <f>Schedules!R74/'Financial Statements'!R11</f>
        <v>6.0148852511594131E-2</v>
      </c>
      <c r="K267" s="32">
        <f>Schedules!S74/'Financial Statements'!S11</f>
        <v>5.7783473809927953E-2</v>
      </c>
    </row>
    <row r="268" spans="1:11" x14ac:dyDescent="0.35">
      <c r="B268" s="32">
        <f>SUM(B265:B267)</f>
        <v>1</v>
      </c>
      <c r="C268" s="32">
        <f t="shared" ref="C268:K268" si="8">SUM(C265:C267)</f>
        <v>0.99999999999999989</v>
      </c>
      <c r="D268" s="32">
        <f t="shared" si="8"/>
        <v>1</v>
      </c>
      <c r="E268" s="32">
        <f t="shared" si="8"/>
        <v>0.99999999999999989</v>
      </c>
      <c r="F268" s="32">
        <f t="shared" si="8"/>
        <v>1.0000000000000002</v>
      </c>
      <c r="G268" s="32">
        <f t="shared" si="8"/>
        <v>1</v>
      </c>
      <c r="H268" s="32">
        <f t="shared" si="8"/>
        <v>1</v>
      </c>
      <c r="I268" s="32">
        <f t="shared" si="8"/>
        <v>1</v>
      </c>
      <c r="J268" s="32">
        <f t="shared" si="8"/>
        <v>1</v>
      </c>
      <c r="K268" s="32">
        <f t="shared" si="8"/>
        <v>1</v>
      </c>
    </row>
    <row r="271" spans="1:11" ht="119" x14ac:dyDescent="0.6">
      <c r="A271" s="290" t="s">
        <v>806</v>
      </c>
      <c r="B271" s="290" t="s">
        <v>807</v>
      </c>
      <c r="C271" s="290" t="s">
        <v>808</v>
      </c>
      <c r="D271" s="290" t="s">
        <v>809</v>
      </c>
      <c r="E271" s="291" t="s">
        <v>810</v>
      </c>
      <c r="F271" s="291" t="s">
        <v>811</v>
      </c>
      <c r="G271" s="291" t="s">
        <v>812</v>
      </c>
      <c r="H271" s="291" t="s">
        <v>813</v>
      </c>
      <c r="I271" s="291" t="s">
        <v>814</v>
      </c>
      <c r="J271" s="291" t="s">
        <v>815</v>
      </c>
      <c r="K271" s="291" t="s">
        <v>816</v>
      </c>
    </row>
    <row r="272" spans="1:11" x14ac:dyDescent="0.35">
      <c r="A272" s="243" t="s">
        <v>817</v>
      </c>
      <c r="B272" s="243" t="s">
        <v>818</v>
      </c>
      <c r="C272" s="292" t="s">
        <v>20</v>
      </c>
      <c r="D272" s="243" t="s">
        <v>561</v>
      </c>
      <c r="E272" s="189">
        <v>2181.9</v>
      </c>
      <c r="F272" s="189">
        <v>2329.6999999999998</v>
      </c>
      <c r="G272" s="189">
        <v>297.3</v>
      </c>
      <c r="H272" s="189">
        <v>91.3</v>
      </c>
      <c r="I272" s="189">
        <v>73.400000000000006</v>
      </c>
      <c r="J272" s="189">
        <v>48.5</v>
      </c>
      <c r="K272" s="190">
        <v>1.58</v>
      </c>
    </row>
    <row r="273" spans="1:11" ht="28" x14ac:dyDescent="0.35">
      <c r="A273" s="243" t="s">
        <v>819</v>
      </c>
      <c r="B273" s="243" t="s">
        <v>820</v>
      </c>
      <c r="C273" s="292" t="s">
        <v>20</v>
      </c>
      <c r="D273" s="243" t="s">
        <v>561</v>
      </c>
      <c r="E273" s="189">
        <v>1402.1</v>
      </c>
      <c r="F273" s="189">
        <v>1284.4000000000001</v>
      </c>
      <c r="G273" s="189">
        <v>925.4</v>
      </c>
      <c r="H273" s="189">
        <v>326.3</v>
      </c>
      <c r="I273" s="190">
        <v>2.71</v>
      </c>
      <c r="J273" s="189">
        <v>-20.8</v>
      </c>
      <c r="K273" s="189">
        <v>184.9</v>
      </c>
    </row>
    <row r="274" spans="1:11" ht="28" x14ac:dyDescent="0.35">
      <c r="A274" s="243" t="s">
        <v>821</v>
      </c>
      <c r="B274" s="243" t="s">
        <v>822</v>
      </c>
      <c r="C274" s="292" t="s">
        <v>20</v>
      </c>
      <c r="D274" s="243" t="s">
        <v>561</v>
      </c>
      <c r="E274" s="189">
        <v>3609.8</v>
      </c>
      <c r="F274" s="189">
        <v>3635</v>
      </c>
      <c r="G274" s="189">
        <v>1096.2</v>
      </c>
      <c r="H274" s="189">
        <v>917</v>
      </c>
      <c r="I274" s="190">
        <v>-4.9800000000000004</v>
      </c>
      <c r="J274" s="189">
        <v>17</v>
      </c>
      <c r="K274" s="189">
        <v>182.7</v>
      </c>
    </row>
    <row r="275" spans="1:11" ht="28" x14ac:dyDescent="0.35">
      <c r="A275" s="243" t="s">
        <v>823</v>
      </c>
      <c r="B275" s="243" t="s">
        <v>824</v>
      </c>
      <c r="C275" s="292" t="s">
        <v>20</v>
      </c>
      <c r="D275" s="243" t="s">
        <v>561</v>
      </c>
      <c r="E275" s="189">
        <v>22830.2</v>
      </c>
      <c r="F275" s="189">
        <v>23042.2</v>
      </c>
      <c r="G275" s="189">
        <v>5797.8</v>
      </c>
      <c r="H275" s="189">
        <v>2203.5</v>
      </c>
      <c r="I275" s="189">
        <v>128.80000000000001</v>
      </c>
      <c r="J275" s="189">
        <v>39</v>
      </c>
      <c r="K275" s="189">
        <v>489.7</v>
      </c>
    </row>
    <row r="276" spans="1:11" x14ac:dyDescent="0.35">
      <c r="A276" s="243" t="s">
        <v>825</v>
      </c>
      <c r="B276" s="243" t="s">
        <v>826</v>
      </c>
      <c r="C276" s="292" t="s">
        <v>20</v>
      </c>
      <c r="D276" s="243" t="s">
        <v>561</v>
      </c>
      <c r="E276" s="189">
        <v>7925.2</v>
      </c>
      <c r="F276" s="189">
        <v>7795.2</v>
      </c>
      <c r="G276" s="189">
        <v>1050.0999999999999</v>
      </c>
      <c r="H276" s="189">
        <v>469.8</v>
      </c>
      <c r="I276" s="189">
        <v>50.2</v>
      </c>
      <c r="J276" s="189">
        <v>15.7</v>
      </c>
      <c r="K276" s="189">
        <v>156.6</v>
      </c>
    </row>
    <row r="277" spans="1:11" ht="28" x14ac:dyDescent="0.35">
      <c r="A277" s="243" t="s">
        <v>827</v>
      </c>
      <c r="B277" s="243" t="s">
        <v>828</v>
      </c>
      <c r="C277" s="292" t="s">
        <v>20</v>
      </c>
      <c r="D277" s="243" t="s">
        <v>561</v>
      </c>
      <c r="E277" s="189">
        <v>939.3</v>
      </c>
      <c r="F277" s="189">
        <v>1262.9000000000001</v>
      </c>
      <c r="G277" s="189">
        <v>167.3</v>
      </c>
      <c r="H277" s="189">
        <v>92.5</v>
      </c>
      <c r="I277" s="189">
        <v>55.5</v>
      </c>
      <c r="J277" s="189">
        <v>50.6</v>
      </c>
      <c r="K277" s="190">
        <v>2.46</v>
      </c>
    </row>
    <row r="278" spans="1:11" x14ac:dyDescent="0.35">
      <c r="A278" s="243" t="s">
        <v>829</v>
      </c>
      <c r="B278" s="243" t="s">
        <v>830</v>
      </c>
      <c r="C278" s="292" t="s">
        <v>20</v>
      </c>
      <c r="D278" s="243" t="s">
        <v>561</v>
      </c>
      <c r="E278" s="189">
        <v>6376</v>
      </c>
      <c r="F278" s="189">
        <v>6299.3</v>
      </c>
      <c r="G278" s="189">
        <v>352.3</v>
      </c>
      <c r="H278" s="189">
        <v>191.4</v>
      </c>
      <c r="I278" s="189">
        <v>115.5</v>
      </c>
      <c r="J278" s="189">
        <v>150</v>
      </c>
      <c r="K278" s="189">
        <v>30.7</v>
      </c>
    </row>
    <row r="279" spans="1:11" x14ac:dyDescent="0.35">
      <c r="A279" s="243" t="s">
        <v>831</v>
      </c>
      <c r="B279" s="243" t="s">
        <v>832</v>
      </c>
      <c r="C279" s="292" t="s">
        <v>20</v>
      </c>
      <c r="D279" s="243" t="s">
        <v>561</v>
      </c>
      <c r="E279" s="189">
        <v>680.9</v>
      </c>
      <c r="F279" s="189">
        <v>715.4</v>
      </c>
      <c r="G279" s="189">
        <v>133.4</v>
      </c>
      <c r="H279" s="189">
        <v>109.1</v>
      </c>
      <c r="I279" s="190">
        <v>6.67</v>
      </c>
      <c r="J279" s="190">
        <v>6.33</v>
      </c>
      <c r="K279" s="190">
        <v>2.77</v>
      </c>
    </row>
    <row r="280" spans="1:11" ht="28" x14ac:dyDescent="0.35">
      <c r="A280" s="243" t="s">
        <v>833</v>
      </c>
      <c r="B280" s="243" t="s">
        <v>834</v>
      </c>
      <c r="C280" s="292" t="s">
        <v>20</v>
      </c>
      <c r="D280" s="243" t="s">
        <v>561</v>
      </c>
      <c r="E280" s="189">
        <v>968.9</v>
      </c>
      <c r="F280" s="189">
        <v>1018.4</v>
      </c>
      <c r="G280" s="189">
        <v>217.2</v>
      </c>
      <c r="H280" s="189">
        <v>155.1</v>
      </c>
      <c r="I280" s="189">
        <v>10.7</v>
      </c>
      <c r="J280" s="190">
        <v>5.45</v>
      </c>
      <c r="K280" s="189">
        <v>21.9</v>
      </c>
    </row>
    <row r="281" spans="1:11" ht="28" x14ac:dyDescent="0.35">
      <c r="A281" s="243" t="s">
        <v>835</v>
      </c>
      <c r="B281" s="243" t="s">
        <v>836</v>
      </c>
      <c r="C281" s="292" t="s">
        <v>20</v>
      </c>
      <c r="D281" s="243" t="s">
        <v>561</v>
      </c>
      <c r="E281" s="189">
        <v>112.8</v>
      </c>
      <c r="F281" s="189">
        <v>166.9</v>
      </c>
      <c r="G281" s="189">
        <v>123.1</v>
      </c>
      <c r="H281" s="189">
        <v>67.099999999999994</v>
      </c>
      <c r="I281" s="189">
        <v>14.3</v>
      </c>
      <c r="J281" s="190">
        <v>-6.62</v>
      </c>
      <c r="K281" s="189">
        <v>29.4</v>
      </c>
    </row>
    <row r="282" spans="1:11" ht="28" x14ac:dyDescent="0.35">
      <c r="A282" s="243" t="s">
        <v>837</v>
      </c>
      <c r="B282" s="243" t="s">
        <v>838</v>
      </c>
      <c r="C282" s="292" t="s">
        <v>20</v>
      </c>
      <c r="D282" s="243" t="s">
        <v>561</v>
      </c>
      <c r="E282" s="189">
        <v>7522.3</v>
      </c>
      <c r="F282" s="189">
        <v>7750.7</v>
      </c>
      <c r="G282" s="189">
        <v>724.6</v>
      </c>
      <c r="H282" s="189">
        <v>461.6</v>
      </c>
      <c r="I282" s="189">
        <v>54.3</v>
      </c>
      <c r="J282" s="189">
        <v>71.400000000000006</v>
      </c>
      <c r="K282" s="189">
        <v>38.4</v>
      </c>
    </row>
    <row r="283" spans="1:11" ht="28" x14ac:dyDescent="0.35">
      <c r="A283" s="243" t="s">
        <v>839</v>
      </c>
      <c r="B283" s="243" t="s">
        <v>840</v>
      </c>
      <c r="C283" s="292" t="s">
        <v>20</v>
      </c>
      <c r="D283" s="243" t="s">
        <v>561</v>
      </c>
      <c r="E283" s="189">
        <v>1711.7</v>
      </c>
      <c r="F283" s="189">
        <v>2255.6</v>
      </c>
      <c r="G283" s="189">
        <v>290.3</v>
      </c>
      <c r="H283" s="189">
        <v>99.5</v>
      </c>
      <c r="I283" s="189">
        <v>51</v>
      </c>
      <c r="J283" s="190">
        <v>2.7</v>
      </c>
      <c r="K283" s="189">
        <v>95.5</v>
      </c>
    </row>
    <row r="284" spans="1:11" ht="28" x14ac:dyDescent="0.35">
      <c r="A284" s="243" t="s">
        <v>841</v>
      </c>
      <c r="B284" s="243" t="s">
        <v>842</v>
      </c>
      <c r="C284" s="292" t="s">
        <v>20</v>
      </c>
      <c r="D284" s="243" t="s">
        <v>561</v>
      </c>
      <c r="E284" s="189">
        <v>6436.3</v>
      </c>
      <c r="F284" s="189">
        <v>6933.8</v>
      </c>
      <c r="G284" s="189">
        <v>2458.6</v>
      </c>
      <c r="H284" s="189">
        <v>1095.3</v>
      </c>
      <c r="I284" s="189">
        <v>-344.6</v>
      </c>
      <c r="J284" s="189">
        <v>-443</v>
      </c>
      <c r="K284" s="189">
        <v>272.10000000000002</v>
      </c>
    </row>
    <row r="285" spans="1:11" ht="28" x14ac:dyDescent="0.35">
      <c r="A285" s="243" t="s">
        <v>843</v>
      </c>
      <c r="B285" s="243" t="s">
        <v>844</v>
      </c>
      <c r="C285" s="292" t="s">
        <v>20</v>
      </c>
      <c r="D285" s="243" t="s">
        <v>561</v>
      </c>
      <c r="E285" s="189">
        <v>864.7</v>
      </c>
      <c r="F285" s="189">
        <v>945.7</v>
      </c>
      <c r="G285" s="189">
        <v>83.1</v>
      </c>
      <c r="H285" s="189">
        <v>50.4</v>
      </c>
      <c r="I285" s="189">
        <v>27.4</v>
      </c>
      <c r="J285" s="189">
        <v>23.8</v>
      </c>
      <c r="K285" s="189">
        <v>15</v>
      </c>
    </row>
    <row r="286" spans="1:11" ht="28" x14ac:dyDescent="0.35">
      <c r="A286" s="243" t="s">
        <v>845</v>
      </c>
      <c r="B286" s="243" t="s">
        <v>846</v>
      </c>
      <c r="C286" s="292" t="s">
        <v>20</v>
      </c>
      <c r="D286" s="243" t="s">
        <v>561</v>
      </c>
      <c r="E286" s="189">
        <v>1142.3</v>
      </c>
      <c r="F286" s="189">
        <v>1180.0999999999999</v>
      </c>
      <c r="G286" s="189">
        <v>252.4</v>
      </c>
      <c r="H286" s="189">
        <v>175.5</v>
      </c>
      <c r="I286" s="189">
        <v>17.3</v>
      </c>
      <c r="J286" s="189">
        <v>17.3</v>
      </c>
      <c r="K286" s="189">
        <v>15.8</v>
      </c>
    </row>
    <row r="287" spans="1:11" ht="28" x14ac:dyDescent="0.35">
      <c r="A287" s="243" t="s">
        <v>847</v>
      </c>
      <c r="B287" s="243" t="s">
        <v>848</v>
      </c>
      <c r="C287" s="292" t="s">
        <v>20</v>
      </c>
      <c r="D287" s="243" t="s">
        <v>561</v>
      </c>
      <c r="E287" s="189">
        <v>1177.7</v>
      </c>
      <c r="F287" s="189">
        <v>1304.5999999999999</v>
      </c>
      <c r="G287" s="189">
        <v>257</v>
      </c>
      <c r="H287" s="189">
        <v>206.9</v>
      </c>
      <c r="I287" s="189">
        <v>37.700000000000003</v>
      </c>
      <c r="J287" s="189">
        <v>27.1</v>
      </c>
      <c r="K287" s="189">
        <v>80</v>
      </c>
    </row>
    <row r="288" spans="1:11" ht="28" x14ac:dyDescent="0.35">
      <c r="A288" s="243" t="s">
        <v>849</v>
      </c>
      <c r="B288" s="243" t="s">
        <v>850</v>
      </c>
      <c r="C288" s="292" t="s">
        <v>20</v>
      </c>
      <c r="D288" s="243" t="s">
        <v>561</v>
      </c>
      <c r="E288" s="189">
        <v>342.6</v>
      </c>
      <c r="F288" s="189">
        <v>398.8</v>
      </c>
      <c r="G288" s="189">
        <v>189.4</v>
      </c>
      <c r="H288" s="189">
        <v>80.400000000000006</v>
      </c>
      <c r="I288" s="189">
        <v>27.8</v>
      </c>
      <c r="J288" s="189">
        <v>14.3</v>
      </c>
      <c r="K288" s="190">
        <v>2</v>
      </c>
    </row>
    <row r="290" spans="1:11" x14ac:dyDescent="0.35">
      <c r="A290" s="243" t="s">
        <v>561</v>
      </c>
      <c r="E290" s="189">
        <v>6043.8</v>
      </c>
      <c r="F290" s="189">
        <v>7546.5</v>
      </c>
      <c r="G290" s="189">
        <v>898.8</v>
      </c>
      <c r="H290" s="189">
        <v>330.5</v>
      </c>
      <c r="I290" s="189">
        <v>53.5</v>
      </c>
      <c r="J290" s="189">
        <v>59</v>
      </c>
      <c r="K290" s="189">
        <v>18.3</v>
      </c>
    </row>
  </sheetData>
  <mergeCells count="3">
    <mergeCell ref="B23:C23"/>
    <mergeCell ref="D23:E23"/>
    <mergeCell ref="F23:G2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094CA-EA8C-4328-9D79-C9F11CB8E34F}">
  <sheetPr codeName="Sheet12"/>
  <dimension ref="A1:AN183"/>
  <sheetViews>
    <sheetView workbookViewId="0">
      <selection activeCell="J8" sqref="J8"/>
    </sheetView>
  </sheetViews>
  <sheetFormatPr defaultRowHeight="14.5" x14ac:dyDescent="0.35"/>
  <cols>
    <col min="1" max="1" width="25.453125" bestFit="1" customWidth="1"/>
    <col min="2" max="2" width="10.36328125" bestFit="1" customWidth="1"/>
    <col min="3" max="3" width="7.6328125" bestFit="1" customWidth="1"/>
    <col min="4" max="4" width="48.36328125" bestFit="1" customWidth="1"/>
    <col min="5" max="5" width="14.90625" bestFit="1" customWidth="1"/>
    <col min="6" max="6" width="10.6328125" bestFit="1" customWidth="1"/>
    <col min="7" max="7" width="13.6328125" bestFit="1" customWidth="1"/>
    <col min="9" max="9" width="15.453125" bestFit="1" customWidth="1"/>
    <col min="13" max="13" width="21.453125" bestFit="1" customWidth="1"/>
    <col min="16" max="16" width="21.453125" bestFit="1" customWidth="1"/>
    <col min="17" max="17" width="20.36328125" bestFit="1" customWidth="1"/>
    <col min="19" max="19" width="12.6328125" bestFit="1" customWidth="1"/>
    <col min="20" max="20" width="12.08984375" bestFit="1" customWidth="1"/>
    <col min="24" max="24" width="12.08984375" bestFit="1" customWidth="1"/>
    <col min="33" max="33" width="31.36328125" bestFit="1" customWidth="1"/>
    <col min="34" max="34" width="2" customWidth="1"/>
    <col min="35" max="35" width="45.36328125" bestFit="1" customWidth="1"/>
  </cols>
  <sheetData>
    <row r="1" spans="1:40" x14ac:dyDescent="0.35">
      <c r="A1" s="104" t="s">
        <v>558</v>
      </c>
    </row>
    <row r="2" spans="1:40" x14ac:dyDescent="0.35">
      <c r="A2" s="137" t="s">
        <v>130</v>
      </c>
      <c r="B2" s="137" t="s">
        <v>559</v>
      </c>
      <c r="C2" s="137" t="s">
        <v>560</v>
      </c>
      <c r="D2" s="142" t="s">
        <v>564</v>
      </c>
      <c r="E2" s="157" t="s">
        <v>577</v>
      </c>
      <c r="F2" s="157" t="s">
        <v>578</v>
      </c>
      <c r="G2" s="157" t="s">
        <v>579</v>
      </c>
      <c r="H2" s="157" t="s">
        <v>580</v>
      </c>
      <c r="I2" s="157"/>
      <c r="R2" s="32"/>
      <c r="S2" s="33"/>
      <c r="T2" s="32"/>
    </row>
    <row r="3" spans="1:40" x14ac:dyDescent="0.35">
      <c r="A3" s="138" t="s">
        <v>561</v>
      </c>
      <c r="B3" s="139">
        <v>1.3</v>
      </c>
      <c r="C3" s="140">
        <f>RSQ($C$15:$C$170,$O$15:$O$170)</f>
        <v>4.0066859330082902E-2</v>
      </c>
      <c r="D3" t="s">
        <v>566</v>
      </c>
      <c r="E3">
        <v>1.4E-2</v>
      </c>
      <c r="F3" s="32">
        <v>0.25168000000000001</v>
      </c>
      <c r="G3" s="187">
        <f>K10/(1+E12*(1-F3))</f>
        <v>0</v>
      </c>
      <c r="I3" s="158" t="s">
        <v>592</v>
      </c>
      <c r="K3" s="32">
        <v>1.84E-2</v>
      </c>
      <c r="M3" s="324">
        <v>7.4999999999999997E-2</v>
      </c>
      <c r="N3">
        <f>M3*(1-F3)*E12</f>
        <v>1.4259560180319149E-2</v>
      </c>
      <c r="P3" s="32"/>
      <c r="R3" s="32"/>
      <c r="S3" s="32"/>
      <c r="T3" s="181"/>
      <c r="V3" t="s">
        <v>614</v>
      </c>
      <c r="AG3" s="179"/>
      <c r="AH3" s="179"/>
      <c r="AI3" s="179"/>
    </row>
    <row r="4" spans="1:40" x14ac:dyDescent="0.35">
      <c r="A4" t="s">
        <v>562</v>
      </c>
      <c r="B4">
        <v>1.3</v>
      </c>
      <c r="C4" s="140">
        <f>RSQ($I$15:$I$170,$Q$15:$Q$170)</f>
        <v>0.27264762548883537</v>
      </c>
      <c r="D4" t="s">
        <v>567</v>
      </c>
      <c r="E4">
        <v>0.60729999999999995</v>
      </c>
      <c r="F4" s="32">
        <v>0.25</v>
      </c>
      <c r="G4" s="28">
        <f t="shared" ref="G4:G11" si="0">B4/(1+E4*(1-F4))</f>
        <v>0.89317920266579653</v>
      </c>
      <c r="H4" s="28">
        <f>G4*(1+(1-$F$3)*$E$3)</f>
        <v>0.90253657671894061</v>
      </c>
      <c r="I4" s="158" t="s">
        <v>591</v>
      </c>
      <c r="J4" s="32">
        <v>1.11E-2</v>
      </c>
      <c r="K4" s="32">
        <f>(K3-1.11%)*1.5</f>
        <v>1.0949999999999998E-2</v>
      </c>
      <c r="M4" s="324">
        <v>0.12</v>
      </c>
      <c r="N4">
        <f>M4*(1-E12)</f>
        <v>8.9511310283687931E-2</v>
      </c>
      <c r="P4" t="s">
        <v>562</v>
      </c>
      <c r="Q4">
        <v>1.3</v>
      </c>
      <c r="R4">
        <v>0.60729999999999995</v>
      </c>
      <c r="S4" s="28">
        <v>0.89317920266579653</v>
      </c>
      <c r="V4" t="s">
        <v>615</v>
      </c>
      <c r="AG4" s="180"/>
      <c r="AH4" s="180"/>
      <c r="AI4" s="180"/>
    </row>
    <row r="5" spans="1:40" x14ac:dyDescent="0.35">
      <c r="A5" t="s">
        <v>565</v>
      </c>
      <c r="B5" s="139">
        <f>_xlfn.COVARIANCE.P($K$15:$K$170,$Q$15:$Q$170)/_xlfn.VAR.P($Q$15:$Q$170)</f>
        <v>1.0969002007314219</v>
      </c>
      <c r="C5" s="140">
        <f>RSQ($K$15:$K$170,$Q$15:$Q$170)</f>
        <v>0.18695824628272006</v>
      </c>
      <c r="D5" t="s">
        <v>568</v>
      </c>
      <c r="E5">
        <v>1.01</v>
      </c>
      <c r="F5" s="33">
        <v>0.34</v>
      </c>
      <c r="G5" s="28">
        <f t="shared" si="0"/>
        <v>0.65816644709673711</v>
      </c>
      <c r="H5" s="28">
        <f t="shared" ref="H5:H11" si="1">G5*(1+(1-$F$3)*$E$3)</f>
        <v>0.66506171471641706</v>
      </c>
      <c r="I5" s="158" t="s">
        <v>593</v>
      </c>
      <c r="J5" s="33"/>
      <c r="P5" t="s">
        <v>565</v>
      </c>
      <c r="Q5" s="139">
        <f>_xlfn.COVARIANCE.P($K$15:$K$170,$Q$15:$Q$170)/_xlfn.VAR.P($Q$15:$Q$170)</f>
        <v>1.0969002007314219</v>
      </c>
      <c r="R5">
        <v>1.01</v>
      </c>
      <c r="S5" s="28">
        <v>0.65816644709673711</v>
      </c>
      <c r="V5" t="s">
        <v>616</v>
      </c>
      <c r="AG5" s="180"/>
      <c r="AH5" s="180"/>
      <c r="AI5" s="180"/>
    </row>
    <row r="6" spans="1:40" x14ac:dyDescent="0.35">
      <c r="A6" t="s">
        <v>563</v>
      </c>
      <c r="B6" s="139">
        <f>_xlfn.COVARIANCE.P($M$15:$M$170,$U$15:$U$170)/_xlfn.VAR.P($U$15:$U$170)</f>
        <v>2.1386025411021006</v>
      </c>
      <c r="C6" s="140">
        <f>RSQ($M$15:$M$170,$U$15:$U$170)</f>
        <v>0.28964267226507195</v>
      </c>
      <c r="D6" t="s">
        <v>568</v>
      </c>
      <c r="E6">
        <v>5.7000000000000002E-2</v>
      </c>
      <c r="F6" s="32">
        <v>0.25800000000000001</v>
      </c>
      <c r="G6" s="28">
        <f t="shared" si="0"/>
        <v>2.0518227497252219</v>
      </c>
      <c r="H6" s="28">
        <f t="shared" si="1"/>
        <v>2.0733186297262631</v>
      </c>
      <c r="I6" s="158" t="s">
        <v>591</v>
      </c>
      <c r="J6" s="32">
        <v>1.11E-2</v>
      </c>
      <c r="P6" t="s">
        <v>563</v>
      </c>
      <c r="Q6" s="139">
        <f>_xlfn.COVARIANCE.P($M$15:$M$170,$U$15:$U$170)/_xlfn.VAR.P($U$15:$U$170)</f>
        <v>2.1386025411021006</v>
      </c>
      <c r="R6">
        <v>5.7000000000000002E-2</v>
      </c>
      <c r="S6" s="28">
        <v>2.0518227497252219</v>
      </c>
      <c r="AG6" s="180"/>
      <c r="AH6" s="180"/>
      <c r="AI6" s="180"/>
    </row>
    <row r="7" spans="1:40" x14ac:dyDescent="0.35">
      <c r="A7" s="138" t="s">
        <v>582</v>
      </c>
      <c r="B7" s="139">
        <f>_xlfn.COVARIANCE.P($E$15:$E$170,$W$15:$W$170)/_xlfn.VAR.P($W$15:$W$170)</f>
        <v>0.98435311580171392</v>
      </c>
      <c r="C7" s="140">
        <f>RSQ($E$15:$E$170,$W$15:$W$170)</f>
        <v>9.8591933052089339E-2</v>
      </c>
      <c r="D7" t="s">
        <v>567</v>
      </c>
      <c r="E7">
        <v>0.29899999999999999</v>
      </c>
      <c r="F7" s="32">
        <v>0.24</v>
      </c>
      <c r="G7" s="28">
        <f t="shared" si="0"/>
        <v>0.80208689074811268</v>
      </c>
      <c r="H7" s="28">
        <f t="shared" si="1"/>
        <v>0.81048993801729741</v>
      </c>
      <c r="I7" s="158" t="s">
        <v>593</v>
      </c>
      <c r="J7" s="33"/>
      <c r="P7" s="138" t="s">
        <v>582</v>
      </c>
      <c r="Q7" s="139">
        <f>_xlfn.COVARIANCE.P($E$15:$E$170,$W$15:$W$170)/_xlfn.VAR.P($W$15:$W$170)</f>
        <v>0.98435311580171392</v>
      </c>
      <c r="R7">
        <v>0.29899999999999999</v>
      </c>
      <c r="S7" s="28">
        <v>0.80208689074811268</v>
      </c>
      <c r="AG7" s="180"/>
      <c r="AH7" s="180"/>
      <c r="AI7" s="180"/>
    </row>
    <row r="8" spans="1:40" x14ac:dyDescent="0.35">
      <c r="A8" t="s">
        <v>610</v>
      </c>
      <c r="B8">
        <v>1.87</v>
      </c>
      <c r="C8" s="140"/>
      <c r="E8">
        <v>0.40439999999999998</v>
      </c>
      <c r="F8" s="32">
        <v>0.25</v>
      </c>
      <c r="G8" s="28">
        <f t="shared" si="0"/>
        <v>1.4348193048415561</v>
      </c>
      <c r="H8" s="28">
        <f t="shared" si="1"/>
        <v>1.4498511605923423</v>
      </c>
      <c r="I8" s="158"/>
      <c r="J8" s="33"/>
      <c r="P8" t="s">
        <v>610</v>
      </c>
      <c r="Q8">
        <v>1.87</v>
      </c>
      <c r="R8">
        <v>0.40439999999999998</v>
      </c>
      <c r="S8" s="28">
        <v>1.4348193048415561</v>
      </c>
      <c r="AG8" s="180"/>
      <c r="AH8" s="180"/>
      <c r="AI8" s="180"/>
    </row>
    <row r="9" spans="1:40" x14ac:dyDescent="0.35">
      <c r="A9" t="s">
        <v>611</v>
      </c>
      <c r="B9">
        <v>1.1100000000000001</v>
      </c>
      <c r="C9" s="140"/>
      <c r="E9">
        <v>0.12765000000000001</v>
      </c>
      <c r="F9" s="32">
        <v>0.22500000000000001</v>
      </c>
      <c r="G9" s="28">
        <f t="shared" si="0"/>
        <v>1.0100745839982803</v>
      </c>
      <c r="H9" s="28">
        <f t="shared" si="1"/>
        <v>1.0206566101760466</v>
      </c>
      <c r="I9" s="158" t="s">
        <v>756</v>
      </c>
      <c r="J9" s="187">
        <f>AVERAGE(H4:H11)</f>
        <v>1.1157398019485523</v>
      </c>
      <c r="P9" t="s">
        <v>611</v>
      </c>
      <c r="Q9">
        <v>1.1100000000000001</v>
      </c>
      <c r="R9">
        <v>0.12765000000000001</v>
      </c>
      <c r="S9" s="28">
        <v>1.0100745839982803</v>
      </c>
      <c r="V9">
        <f>_xlfn.STDEV.P(C15:C170)*(52)^0.5</f>
        <v>0.50959662200422762</v>
      </c>
      <c r="AG9" s="180"/>
      <c r="AH9" s="180"/>
      <c r="AI9" s="180"/>
    </row>
    <row r="10" spans="1:40" x14ac:dyDescent="0.35">
      <c r="A10" t="s">
        <v>612</v>
      </c>
      <c r="B10">
        <v>1.1499999999999999</v>
      </c>
      <c r="C10" s="140"/>
      <c r="E10">
        <v>0.51122931442080377</v>
      </c>
      <c r="F10" s="32">
        <v>0.22500000000000001</v>
      </c>
      <c r="G10" s="28">
        <f t="shared" si="0"/>
        <v>0.82366262765225662</v>
      </c>
      <c r="H10" s="28">
        <f t="shared" si="1"/>
        <v>0.83229171269760283</v>
      </c>
      <c r="I10" s="158" t="s">
        <v>554</v>
      </c>
      <c r="J10" s="187">
        <f>J9*0.67+1*0.33</f>
        <v>1.0775456673055301</v>
      </c>
      <c r="K10" s="187"/>
      <c r="L10" s="187"/>
      <c r="P10" t="s">
        <v>612</v>
      </c>
      <c r="Q10">
        <v>1.1499999999999999</v>
      </c>
      <c r="R10">
        <v>0.51122931442080377</v>
      </c>
      <c r="S10" s="28">
        <v>0.82366262765225662</v>
      </c>
      <c r="AG10" s="180"/>
      <c r="AH10" s="180"/>
      <c r="AI10" s="180"/>
    </row>
    <row r="11" spans="1:40" x14ac:dyDescent="0.35">
      <c r="A11" t="s">
        <v>613</v>
      </c>
      <c r="B11">
        <v>1.17</v>
      </c>
      <c r="E11">
        <v>1.2E-2</v>
      </c>
      <c r="F11" s="32">
        <v>0.25</v>
      </c>
      <c r="G11" s="28">
        <f t="shared" si="0"/>
        <v>1.159563924677899</v>
      </c>
      <c r="H11" s="28">
        <f t="shared" si="1"/>
        <v>1.1717120729435084</v>
      </c>
      <c r="P11" t="s">
        <v>613</v>
      </c>
      <c r="Q11">
        <v>1.17</v>
      </c>
      <c r="R11">
        <v>1.2E-2</v>
      </c>
      <c r="S11" s="28">
        <v>1.159563924677899</v>
      </c>
      <c r="AG11" s="180"/>
      <c r="AH11" s="180"/>
      <c r="AI11" s="180"/>
    </row>
    <row r="12" spans="1:40" x14ac:dyDescent="0.35">
      <c r="E12">
        <f>AVERAGE(E6:E11,E3:E4)</f>
        <v>0.25407241430260047</v>
      </c>
      <c r="H12" s="28"/>
      <c r="P12" s="104"/>
      <c r="AG12" s="180"/>
      <c r="AH12" s="180"/>
      <c r="AI12" s="180"/>
    </row>
    <row r="13" spans="1:40" x14ac:dyDescent="0.35">
      <c r="B13" s="358" t="s">
        <v>561</v>
      </c>
      <c r="C13" s="358"/>
      <c r="D13" s="358" t="s">
        <v>582</v>
      </c>
      <c r="E13" s="358"/>
      <c r="F13" s="358" t="s">
        <v>572</v>
      </c>
      <c r="G13" s="358"/>
      <c r="H13" s="358" t="s">
        <v>562</v>
      </c>
      <c r="I13" s="358"/>
      <c r="J13" s="358" t="s">
        <v>565</v>
      </c>
      <c r="K13" s="358"/>
      <c r="L13" s="358" t="s">
        <v>563</v>
      </c>
      <c r="M13" s="358"/>
      <c r="N13" s="358" t="s">
        <v>573</v>
      </c>
      <c r="O13" s="358"/>
      <c r="P13" s="358" t="s">
        <v>574</v>
      </c>
      <c r="Q13" s="358"/>
      <c r="R13" s="358" t="s">
        <v>575</v>
      </c>
      <c r="S13" s="358"/>
      <c r="T13" s="358" t="s">
        <v>576</v>
      </c>
      <c r="U13" s="358"/>
      <c r="V13" s="358" t="s">
        <v>581</v>
      </c>
      <c r="W13" s="358"/>
      <c r="X13" s="358" t="s">
        <v>589</v>
      </c>
      <c r="Y13" s="358"/>
      <c r="Z13" s="146"/>
      <c r="AA13" s="146"/>
      <c r="AB13" s="146"/>
      <c r="AC13" s="146"/>
      <c r="AD13" s="146"/>
      <c r="AE13" s="146"/>
      <c r="AF13" s="146"/>
      <c r="AG13" s="104"/>
    </row>
    <row r="14" spans="1:40" ht="16.5" x14ac:dyDescent="0.35">
      <c r="A14" s="143" t="s">
        <v>569</v>
      </c>
      <c r="B14" s="144" t="s">
        <v>570</v>
      </c>
      <c r="C14" s="145" t="s">
        <v>571</v>
      </c>
      <c r="D14" s="144" t="s">
        <v>570</v>
      </c>
      <c r="E14" s="145" t="s">
        <v>571</v>
      </c>
      <c r="F14" s="144" t="s">
        <v>570</v>
      </c>
      <c r="G14" s="145" t="s">
        <v>571</v>
      </c>
      <c r="H14" s="144" t="s">
        <v>570</v>
      </c>
      <c r="I14" s="145" t="s">
        <v>571</v>
      </c>
      <c r="J14" s="144" t="s">
        <v>570</v>
      </c>
      <c r="K14" s="145" t="s">
        <v>571</v>
      </c>
      <c r="L14" s="144" t="s">
        <v>570</v>
      </c>
      <c r="M14" s="145" t="s">
        <v>571</v>
      </c>
      <c r="N14" s="144" t="s">
        <v>570</v>
      </c>
      <c r="O14" s="145" t="s">
        <v>571</v>
      </c>
      <c r="P14" s="144" t="s">
        <v>570</v>
      </c>
      <c r="Q14" s="145" t="s">
        <v>571</v>
      </c>
      <c r="R14" s="144" t="s">
        <v>570</v>
      </c>
      <c r="S14" s="145" t="s">
        <v>571</v>
      </c>
      <c r="T14" s="144" t="s">
        <v>570</v>
      </c>
      <c r="U14" s="145" t="s">
        <v>571</v>
      </c>
      <c r="V14" s="144" t="s">
        <v>570</v>
      </c>
      <c r="W14" s="145" t="s">
        <v>571</v>
      </c>
      <c r="X14" s="144" t="s">
        <v>570</v>
      </c>
      <c r="Y14" s="145" t="s">
        <v>571</v>
      </c>
      <c r="Z14" s="178"/>
      <c r="AA14" s="178"/>
      <c r="AB14" s="178"/>
      <c r="AC14" s="178"/>
      <c r="AD14" s="178"/>
      <c r="AE14" s="178"/>
      <c r="AF14" s="178"/>
      <c r="AH14" s="147"/>
      <c r="AI14" s="148"/>
      <c r="AJ14" s="148"/>
      <c r="AK14" s="148"/>
      <c r="AL14" s="148"/>
      <c r="AM14" s="148"/>
      <c r="AN14" s="148"/>
    </row>
    <row r="15" spans="1:40" ht="16.5" x14ac:dyDescent="0.35">
      <c r="A15" s="155">
        <v>46131</v>
      </c>
      <c r="B15">
        <v>1147.3499999999999</v>
      </c>
      <c r="C15" s="32">
        <v>-1.23E-2</v>
      </c>
      <c r="D15">
        <v>55300</v>
      </c>
      <c r="E15" s="32">
        <v>-2.47E-2</v>
      </c>
      <c r="F15">
        <v>52</v>
      </c>
      <c r="G15" s="32">
        <v>0</v>
      </c>
      <c r="H15">
        <v>50.48</v>
      </c>
      <c r="I15" s="32">
        <v>-6.4999999999999997E-3</v>
      </c>
      <c r="J15">
        <v>12.22</v>
      </c>
      <c r="K15" s="32">
        <v>-2.0400000000000001E-2</v>
      </c>
      <c r="L15">
        <v>975.1</v>
      </c>
      <c r="M15" s="32">
        <v>-0.01</v>
      </c>
      <c r="N15">
        <v>23897.95</v>
      </c>
      <c r="O15" s="32">
        <v>-1.8700000000000001E-2</v>
      </c>
      <c r="P15">
        <v>24836.6</v>
      </c>
      <c r="Q15" s="32">
        <v>1.4999999999999999E-2</v>
      </c>
      <c r="R15">
        <v>7129.49</v>
      </c>
      <c r="S15" s="32">
        <v>-6.6100000000000006E-2</v>
      </c>
      <c r="T15">
        <v>1020.6</v>
      </c>
      <c r="U15" s="32">
        <v>-3.0000000000000001E-3</v>
      </c>
      <c r="V15">
        <v>1203.8399999999999</v>
      </c>
      <c r="W15" s="32">
        <v>2.8899999999999999E-2</v>
      </c>
      <c r="X15" s="158">
        <v>22570.05</v>
      </c>
      <c r="Y15" s="32">
        <v>-1.3100000000000001E-2</v>
      </c>
      <c r="Z15" s="32"/>
      <c r="AA15" s="32"/>
      <c r="AB15" s="32"/>
      <c r="AC15" s="32"/>
      <c r="AD15" s="32"/>
      <c r="AE15" s="32"/>
      <c r="AF15" s="32"/>
      <c r="AH15" s="159"/>
      <c r="AI15" s="149"/>
      <c r="AJ15" s="150"/>
      <c r="AK15" s="150"/>
      <c r="AL15" s="150"/>
      <c r="AM15" s="151"/>
      <c r="AN15" s="152"/>
    </row>
    <row r="16" spans="1:40" ht="16.5" x14ac:dyDescent="0.35">
      <c r="A16" s="155">
        <v>46124</v>
      </c>
      <c r="B16">
        <v>1161.6500000000001</v>
      </c>
      <c r="C16" s="32">
        <v>3.3599999999999998E-2</v>
      </c>
      <c r="D16">
        <v>56700</v>
      </c>
      <c r="E16" s="32">
        <v>6.7799999999999999E-2</v>
      </c>
      <c r="F16">
        <v>52</v>
      </c>
      <c r="G16" s="32">
        <v>0</v>
      </c>
      <c r="H16">
        <v>50.81</v>
      </c>
      <c r="I16" s="32">
        <v>0.1231</v>
      </c>
      <c r="J16">
        <v>12.47</v>
      </c>
      <c r="K16" s="32">
        <v>7.3999999999999996E-2</v>
      </c>
      <c r="L16">
        <v>984.9</v>
      </c>
      <c r="M16" s="32">
        <v>0.14680000000000001</v>
      </c>
      <c r="N16">
        <v>24353.55</v>
      </c>
      <c r="O16" s="32">
        <v>1.26E-2</v>
      </c>
      <c r="P16">
        <v>24468.48</v>
      </c>
      <c r="Q16" s="32">
        <v>6.8400000000000002E-2</v>
      </c>
      <c r="R16">
        <v>7634</v>
      </c>
      <c r="S16" s="32">
        <v>2.35E-2</v>
      </c>
      <c r="T16">
        <v>1023.68</v>
      </c>
      <c r="U16" s="32">
        <v>1.3299999999999999E-2</v>
      </c>
      <c r="V16">
        <v>1170.04</v>
      </c>
      <c r="W16" s="32">
        <v>6.9900000000000004E-2</v>
      </c>
      <c r="X16" s="158">
        <v>22869.4</v>
      </c>
      <c r="Y16" s="32">
        <v>2.3400000000000001E-2</v>
      </c>
      <c r="Z16" s="32"/>
      <c r="AA16" s="32"/>
      <c r="AB16" s="32"/>
      <c r="AC16" s="32"/>
      <c r="AD16" s="32"/>
      <c r="AE16" s="32"/>
      <c r="AF16" s="32"/>
      <c r="AH16" s="159"/>
      <c r="AI16" s="153"/>
      <c r="AJ16" s="150"/>
      <c r="AK16" s="150"/>
      <c r="AL16" s="150"/>
      <c r="AM16" s="151"/>
      <c r="AN16" s="154"/>
    </row>
    <row r="17" spans="1:40" ht="16.5" x14ac:dyDescent="0.35">
      <c r="A17" s="155">
        <v>46117</v>
      </c>
      <c r="B17">
        <v>1123.8499999999999</v>
      </c>
      <c r="C17" s="32">
        <v>0.1171</v>
      </c>
      <c r="D17">
        <v>53100</v>
      </c>
      <c r="E17" s="32">
        <v>0.1086</v>
      </c>
      <c r="F17">
        <v>52</v>
      </c>
      <c r="G17" s="32">
        <v>-1.89E-2</v>
      </c>
      <c r="H17">
        <v>45.24</v>
      </c>
      <c r="I17" s="32">
        <v>-2.2000000000000001E-3</v>
      </c>
      <c r="J17">
        <v>11.62</v>
      </c>
      <c r="K17" s="32">
        <v>7.9000000000000008E-3</v>
      </c>
      <c r="L17">
        <v>858.8</v>
      </c>
      <c r="M17" s="32">
        <v>1.61E-2</v>
      </c>
      <c r="N17">
        <v>24050.6</v>
      </c>
      <c r="O17" s="32">
        <v>5.8900000000000001E-2</v>
      </c>
      <c r="P17">
        <v>22902.89</v>
      </c>
      <c r="Q17" s="32">
        <v>4.6800000000000001E-2</v>
      </c>
      <c r="R17">
        <v>7458.5</v>
      </c>
      <c r="S17" s="32">
        <v>6.1400000000000003E-2</v>
      </c>
      <c r="T17">
        <v>1010.25</v>
      </c>
      <c r="U17" s="32">
        <v>3.5200000000000002E-2</v>
      </c>
      <c r="V17">
        <v>1093.6300000000001</v>
      </c>
      <c r="W17" s="32">
        <v>2.81E-2</v>
      </c>
      <c r="X17" s="158">
        <v>22346.75</v>
      </c>
      <c r="Y17" s="32">
        <v>6.7299999999999999E-2</v>
      </c>
      <c r="Z17" s="32"/>
      <c r="AA17" s="32"/>
      <c r="AB17" s="32"/>
      <c r="AC17" s="32"/>
      <c r="AD17" s="32"/>
      <c r="AE17" s="32"/>
      <c r="AF17" s="32"/>
      <c r="AH17" s="159"/>
      <c r="AI17" s="153"/>
      <c r="AJ17" s="150"/>
      <c r="AK17" s="150"/>
      <c r="AL17" s="150"/>
      <c r="AM17" s="151"/>
      <c r="AN17" s="154"/>
    </row>
    <row r="18" spans="1:40" ht="16.5" x14ac:dyDescent="0.35">
      <c r="A18" s="155">
        <v>46110</v>
      </c>
      <c r="B18">
        <v>1006</v>
      </c>
      <c r="C18" s="32">
        <v>-2.8E-3</v>
      </c>
      <c r="D18">
        <v>47900</v>
      </c>
      <c r="E18" s="32">
        <v>-0.1047</v>
      </c>
      <c r="F18">
        <v>53</v>
      </c>
      <c r="G18" s="32">
        <v>3.9199999999999999E-2</v>
      </c>
      <c r="H18">
        <v>45.34</v>
      </c>
      <c r="I18" s="32">
        <v>4.0099999999999997E-2</v>
      </c>
      <c r="J18">
        <v>11.52</v>
      </c>
      <c r="K18" s="32">
        <v>3.6400000000000002E-2</v>
      </c>
      <c r="L18">
        <v>845.2</v>
      </c>
      <c r="M18" s="32">
        <v>-1.2E-2</v>
      </c>
      <c r="N18">
        <v>22713.1</v>
      </c>
      <c r="O18" s="32">
        <v>-4.7000000000000002E-3</v>
      </c>
      <c r="P18">
        <v>21879.18</v>
      </c>
      <c r="Q18" s="32">
        <v>4.4400000000000002E-2</v>
      </c>
      <c r="R18">
        <v>7026.78</v>
      </c>
      <c r="S18" s="32">
        <v>-9.9000000000000008E-3</v>
      </c>
      <c r="T18">
        <v>975.86</v>
      </c>
      <c r="U18" s="32">
        <v>1.6299999999999999E-2</v>
      </c>
      <c r="V18">
        <v>1063.75</v>
      </c>
      <c r="W18" s="32">
        <v>-6.8099999999999994E-2</v>
      </c>
      <c r="X18" s="158">
        <v>20938.349999999999</v>
      </c>
      <c r="Y18" s="32">
        <v>-3.8999999999999998E-3</v>
      </c>
      <c r="Z18" s="32"/>
      <c r="AA18" s="32"/>
      <c r="AB18" s="32"/>
      <c r="AC18" s="32"/>
      <c r="AD18" s="32"/>
      <c r="AE18" s="32"/>
      <c r="AF18" s="32"/>
      <c r="AH18" s="159"/>
      <c r="AI18" s="149"/>
      <c r="AJ18" s="150"/>
      <c r="AK18" s="150"/>
      <c r="AL18" s="150"/>
      <c r="AM18" s="151"/>
      <c r="AN18" s="152"/>
    </row>
    <row r="19" spans="1:40" ht="16.5" x14ac:dyDescent="0.35">
      <c r="A19" s="155">
        <v>46103</v>
      </c>
      <c r="B19">
        <v>1008.8</v>
      </c>
      <c r="C19" s="32">
        <v>-4.3200000000000002E-2</v>
      </c>
      <c r="D19">
        <v>53500</v>
      </c>
      <c r="E19" s="32">
        <v>-0.16800000000000001</v>
      </c>
      <c r="F19">
        <v>51</v>
      </c>
      <c r="G19" s="32">
        <v>0</v>
      </c>
      <c r="H19">
        <v>43.59</v>
      </c>
      <c r="I19" s="32">
        <v>-9.4999999999999998E-3</v>
      </c>
      <c r="J19">
        <v>11.12</v>
      </c>
      <c r="K19" s="32">
        <v>-0.1671</v>
      </c>
      <c r="L19">
        <v>855.5</v>
      </c>
      <c r="M19" s="32">
        <v>-9.2999999999999992E-3</v>
      </c>
      <c r="N19">
        <v>22819.599999999999</v>
      </c>
      <c r="O19" s="32">
        <v>-1.2800000000000001E-2</v>
      </c>
      <c r="P19">
        <v>20948.36</v>
      </c>
      <c r="Q19" s="32">
        <v>-3.2300000000000002E-2</v>
      </c>
      <c r="R19">
        <v>7097.06</v>
      </c>
      <c r="S19" s="32">
        <v>-1.4E-3</v>
      </c>
      <c r="T19">
        <v>960.22</v>
      </c>
      <c r="U19" s="32">
        <v>-1.5E-3</v>
      </c>
      <c r="V19">
        <v>1141.51</v>
      </c>
      <c r="W19" s="32">
        <v>-1.72E-2</v>
      </c>
      <c r="X19" s="158">
        <v>21020.15</v>
      </c>
      <c r="Y19" s="32">
        <v>-1.44E-2</v>
      </c>
      <c r="Z19" s="32"/>
      <c r="AA19" s="32"/>
      <c r="AB19" s="32"/>
      <c r="AC19" s="32"/>
      <c r="AD19" s="32"/>
      <c r="AE19" s="32"/>
      <c r="AF19" s="32"/>
      <c r="AH19" s="159"/>
      <c r="AI19" s="149"/>
      <c r="AJ19" s="150"/>
      <c r="AK19" s="150"/>
      <c r="AL19" s="150"/>
      <c r="AM19" s="151"/>
      <c r="AN19" s="152"/>
    </row>
    <row r="20" spans="1:40" ht="16.5" x14ac:dyDescent="0.35">
      <c r="A20" s="155">
        <v>46096</v>
      </c>
      <c r="B20">
        <v>1054.3</v>
      </c>
      <c r="C20" s="32">
        <v>0.08</v>
      </c>
      <c r="D20">
        <v>64300</v>
      </c>
      <c r="E20" s="32">
        <v>0.1048</v>
      </c>
      <c r="F20">
        <v>51</v>
      </c>
      <c r="G20" s="32">
        <v>-7.2700000000000001E-2</v>
      </c>
      <c r="H20">
        <v>44.01</v>
      </c>
      <c r="I20" s="32">
        <v>-1.9800000000000002E-2</v>
      </c>
      <c r="J20">
        <v>13.35</v>
      </c>
      <c r="K20" s="32">
        <v>-3.3300000000000003E-2</v>
      </c>
      <c r="L20">
        <v>863.5</v>
      </c>
      <c r="M20" s="32">
        <v>-5.4800000000000001E-2</v>
      </c>
      <c r="N20">
        <v>23114.5</v>
      </c>
      <c r="O20" s="32">
        <v>-1.6000000000000001E-3</v>
      </c>
      <c r="P20">
        <v>21647.61</v>
      </c>
      <c r="Q20" s="32">
        <v>-2.07E-2</v>
      </c>
      <c r="R20">
        <v>7106.84</v>
      </c>
      <c r="S20" s="32">
        <v>-4.3E-3</v>
      </c>
      <c r="T20">
        <v>961.62</v>
      </c>
      <c r="U20" s="32">
        <v>-0.04</v>
      </c>
      <c r="V20">
        <v>1161.52</v>
      </c>
      <c r="W20" s="32">
        <v>7.4000000000000003E-3</v>
      </c>
      <c r="X20" s="158">
        <v>21327.9</v>
      </c>
      <c r="Y20" s="32">
        <v>-3.0000000000000001E-3</v>
      </c>
      <c r="Z20" s="32"/>
      <c r="AA20" s="32"/>
      <c r="AB20" s="32"/>
      <c r="AC20" s="32"/>
      <c r="AD20" s="32"/>
      <c r="AE20" s="32"/>
      <c r="AF20" s="32"/>
      <c r="AH20" s="159"/>
      <c r="AI20" s="149"/>
      <c r="AJ20" s="150"/>
      <c r="AK20" s="150"/>
      <c r="AL20" s="150"/>
      <c r="AM20" s="151"/>
      <c r="AN20" s="152"/>
    </row>
    <row r="21" spans="1:40" ht="16.5" x14ac:dyDescent="0.35">
      <c r="A21" s="155">
        <v>46089</v>
      </c>
      <c r="B21">
        <v>976.2</v>
      </c>
      <c r="C21" s="32">
        <v>-5.9799999999999999E-2</v>
      </c>
      <c r="D21">
        <v>58200</v>
      </c>
      <c r="E21" s="32">
        <v>-5.5199999999999999E-2</v>
      </c>
      <c r="F21">
        <v>55</v>
      </c>
      <c r="G21" s="32">
        <v>-1.7899999999999999E-2</v>
      </c>
      <c r="H21">
        <v>44.9</v>
      </c>
      <c r="I21" s="32">
        <v>-4.41E-2</v>
      </c>
      <c r="J21">
        <v>13.81</v>
      </c>
      <c r="K21" s="32">
        <v>6.6E-3</v>
      </c>
      <c r="L21">
        <v>913.6</v>
      </c>
      <c r="M21" s="32">
        <v>-1.8100000000000002E-2</v>
      </c>
      <c r="N21">
        <v>23151.1</v>
      </c>
      <c r="O21" s="32">
        <v>-5.3100000000000001E-2</v>
      </c>
      <c r="P21">
        <v>22105.360000000001</v>
      </c>
      <c r="Q21" s="32">
        <v>-1.26E-2</v>
      </c>
      <c r="R21">
        <v>7137.21</v>
      </c>
      <c r="S21" s="32">
        <v>-5.91E-2</v>
      </c>
      <c r="T21">
        <v>1001.66</v>
      </c>
      <c r="U21" s="32">
        <v>2.1700000000000001E-2</v>
      </c>
      <c r="V21">
        <v>1152.96</v>
      </c>
      <c r="W21" s="32">
        <v>-1.5E-3</v>
      </c>
      <c r="X21" s="158">
        <v>21391.200000000001</v>
      </c>
      <c r="Y21" s="32">
        <v>-4.8500000000000001E-2</v>
      </c>
      <c r="Z21" s="32"/>
      <c r="AA21" s="32"/>
      <c r="AB21" s="32"/>
      <c r="AC21" s="32"/>
      <c r="AD21" s="32"/>
      <c r="AE21" s="32"/>
      <c r="AF21" s="32"/>
      <c r="AH21" s="159"/>
      <c r="AI21" s="149"/>
      <c r="AJ21" s="150"/>
      <c r="AK21" s="150"/>
      <c r="AL21" s="150"/>
      <c r="AM21" s="151"/>
      <c r="AN21" s="152"/>
    </row>
    <row r="22" spans="1:40" ht="16.5" x14ac:dyDescent="0.35">
      <c r="A22" s="155">
        <v>46082</v>
      </c>
      <c r="B22">
        <v>1038.3</v>
      </c>
      <c r="C22" s="32">
        <v>-5.4600000000000003E-2</v>
      </c>
      <c r="D22">
        <v>61600</v>
      </c>
      <c r="E22" s="32">
        <v>-7.9200000000000007E-2</v>
      </c>
      <c r="F22">
        <v>56</v>
      </c>
      <c r="G22" s="32">
        <v>-8.2000000000000003E-2</v>
      </c>
      <c r="H22">
        <v>46.97</v>
      </c>
      <c r="I22" s="32">
        <v>1.6400000000000001E-2</v>
      </c>
      <c r="J22">
        <v>13.72</v>
      </c>
      <c r="K22" s="32">
        <v>-0.18329999999999999</v>
      </c>
      <c r="L22">
        <v>930.4</v>
      </c>
      <c r="M22" s="32">
        <v>-6.4699999999999994E-2</v>
      </c>
      <c r="N22">
        <v>24450.45</v>
      </c>
      <c r="O22" s="32">
        <v>-2.8899999999999999E-2</v>
      </c>
      <c r="P22">
        <v>22387.68</v>
      </c>
      <c r="Q22" s="32">
        <v>-1.24E-2</v>
      </c>
      <c r="R22">
        <v>7585.69</v>
      </c>
      <c r="S22" s="32">
        <v>-7.8899999999999998E-2</v>
      </c>
      <c r="T22">
        <v>980.34</v>
      </c>
      <c r="U22" s="32">
        <v>-4.5499999999999999E-2</v>
      </c>
      <c r="V22">
        <v>1154.67</v>
      </c>
      <c r="W22" s="32">
        <v>-3.2000000000000001E-2</v>
      </c>
      <c r="X22" s="158">
        <v>22481.3</v>
      </c>
      <c r="Y22" s="32">
        <v>-2.9600000000000001E-2</v>
      </c>
      <c r="Z22" s="32"/>
      <c r="AA22" s="32"/>
      <c r="AB22" s="32"/>
      <c r="AC22" s="32"/>
      <c r="AD22" s="32"/>
      <c r="AE22" s="32"/>
      <c r="AF22" s="32"/>
      <c r="AH22" s="159"/>
      <c r="AI22" s="149"/>
      <c r="AJ22" s="150"/>
      <c r="AK22" s="150"/>
      <c r="AL22" s="150"/>
      <c r="AM22" s="151"/>
      <c r="AN22" s="152"/>
    </row>
    <row r="23" spans="1:40" ht="16.5" x14ac:dyDescent="0.35">
      <c r="A23" s="155">
        <v>46075</v>
      </c>
      <c r="B23">
        <v>1098.3</v>
      </c>
      <c r="C23" s="32">
        <v>-4.7699999999999999E-2</v>
      </c>
      <c r="D23">
        <v>66900</v>
      </c>
      <c r="E23" s="32">
        <v>-7.4000000000000003E-3</v>
      </c>
      <c r="F23">
        <v>61</v>
      </c>
      <c r="G23" s="32">
        <v>0</v>
      </c>
      <c r="H23">
        <v>46.21</v>
      </c>
      <c r="I23" s="32">
        <v>0.1095</v>
      </c>
      <c r="J23">
        <v>16.8</v>
      </c>
      <c r="K23" s="32">
        <v>-5.2499999999999998E-2</v>
      </c>
      <c r="L23">
        <v>994.8</v>
      </c>
      <c r="M23" s="32">
        <v>-6.7999999999999996E-3</v>
      </c>
      <c r="N23">
        <v>25178.65</v>
      </c>
      <c r="O23" s="32">
        <v>-1.54E-2</v>
      </c>
      <c r="P23">
        <v>22668.21</v>
      </c>
      <c r="Q23" s="32">
        <v>-9.4999999999999998E-3</v>
      </c>
      <c r="R23">
        <v>8235.49</v>
      </c>
      <c r="S23" s="32">
        <v>-4.4000000000000003E-3</v>
      </c>
      <c r="T23">
        <v>1027.02</v>
      </c>
      <c r="U23" s="32">
        <v>9.1999999999999998E-3</v>
      </c>
      <c r="V23">
        <v>1192.78</v>
      </c>
      <c r="W23" s="32">
        <v>3.3599999999999998E-2</v>
      </c>
      <c r="X23" s="158">
        <v>23166.85</v>
      </c>
      <c r="Y23" s="32">
        <v>-9.7999999999999997E-3</v>
      </c>
      <c r="Z23" s="32"/>
      <c r="AA23" s="32"/>
      <c r="AB23" s="32"/>
      <c r="AC23" s="32"/>
      <c r="AD23" s="32"/>
      <c r="AE23" s="32"/>
      <c r="AF23" s="32"/>
      <c r="AH23" s="159"/>
      <c r="AI23" s="149"/>
      <c r="AJ23" s="150"/>
      <c r="AK23" s="150"/>
      <c r="AL23" s="150"/>
      <c r="AM23" s="151"/>
      <c r="AN23" s="152"/>
    </row>
    <row r="24" spans="1:40" ht="16.5" x14ac:dyDescent="0.35">
      <c r="A24" s="155">
        <v>46068</v>
      </c>
      <c r="B24">
        <v>1153.3</v>
      </c>
      <c r="C24" s="32">
        <v>2.4E-2</v>
      </c>
      <c r="D24">
        <v>67400</v>
      </c>
      <c r="E24" s="32">
        <v>7.8399999999999997E-2</v>
      </c>
      <c r="F24">
        <v>61</v>
      </c>
      <c r="G24" s="32">
        <v>3.39E-2</v>
      </c>
      <c r="H24">
        <v>41.65</v>
      </c>
      <c r="I24" s="32">
        <v>3.3799999999999997E-2</v>
      </c>
      <c r="J24">
        <v>17.73</v>
      </c>
      <c r="K24" s="32">
        <v>5.16E-2</v>
      </c>
      <c r="L24">
        <v>1001.6</v>
      </c>
      <c r="M24" s="32">
        <v>0.1164</v>
      </c>
      <c r="N24">
        <v>25571.25</v>
      </c>
      <c r="O24" s="32">
        <v>3.8999999999999998E-3</v>
      </c>
      <c r="P24">
        <v>22886.07</v>
      </c>
      <c r="Q24" s="32">
        <v>1.5100000000000001E-2</v>
      </c>
      <c r="R24">
        <v>8271.77</v>
      </c>
      <c r="S24" s="32">
        <v>7.1999999999999998E-3</v>
      </c>
      <c r="T24">
        <v>1017.66</v>
      </c>
      <c r="U24" s="32">
        <v>2.4E-2</v>
      </c>
      <c r="V24">
        <v>1154</v>
      </c>
      <c r="W24" s="32">
        <v>4.3299999999999998E-2</v>
      </c>
      <c r="X24" s="158">
        <v>23395</v>
      </c>
      <c r="Y24" s="32">
        <v>3.5000000000000001E-3</v>
      </c>
      <c r="Z24" s="32"/>
      <c r="AA24" s="32"/>
      <c r="AB24" s="32"/>
      <c r="AC24" s="32"/>
      <c r="AD24" s="32"/>
      <c r="AE24" s="32"/>
      <c r="AF24" s="32"/>
      <c r="AH24" s="159"/>
      <c r="AI24" s="153"/>
      <c r="AJ24" s="150"/>
      <c r="AK24" s="150"/>
      <c r="AL24" s="150"/>
      <c r="AM24" s="151"/>
      <c r="AN24" s="154"/>
    </row>
    <row r="25" spans="1:40" ht="16.5" x14ac:dyDescent="0.35">
      <c r="A25" s="155">
        <v>46061</v>
      </c>
      <c r="B25">
        <v>1126.3</v>
      </c>
      <c r="C25" s="32">
        <v>-5.1499999999999997E-2</v>
      </c>
      <c r="D25">
        <v>62500</v>
      </c>
      <c r="E25" s="32">
        <v>-3.6999999999999998E-2</v>
      </c>
      <c r="F25">
        <v>59</v>
      </c>
      <c r="G25" s="32">
        <v>-1.67E-2</v>
      </c>
      <c r="H25">
        <v>40.29</v>
      </c>
      <c r="I25" s="32">
        <v>-3.2000000000000002E-3</v>
      </c>
      <c r="J25">
        <v>16.86</v>
      </c>
      <c r="K25" s="32">
        <v>-1.29E-2</v>
      </c>
      <c r="L25">
        <v>897.2</v>
      </c>
      <c r="M25" s="32">
        <v>-0.2094</v>
      </c>
      <c r="N25">
        <v>25471.1</v>
      </c>
      <c r="O25" s="32">
        <v>-8.6999999999999994E-3</v>
      </c>
      <c r="P25">
        <v>22546.67</v>
      </c>
      <c r="Q25" s="32">
        <v>-2.1000000000000001E-2</v>
      </c>
      <c r="R25">
        <v>8212.27</v>
      </c>
      <c r="S25" s="32">
        <v>3.49E-2</v>
      </c>
      <c r="T25">
        <v>993.82</v>
      </c>
      <c r="U25" s="32">
        <v>-1.5E-3</v>
      </c>
      <c r="V25">
        <v>1106.08</v>
      </c>
      <c r="W25" s="32">
        <v>2.3400000000000001E-2</v>
      </c>
      <c r="X25" s="158">
        <v>23313.15</v>
      </c>
      <c r="Y25" s="32">
        <v>-5.1999999999999998E-3</v>
      </c>
      <c r="Z25" s="32"/>
      <c r="AA25" s="32"/>
      <c r="AB25" s="32"/>
      <c r="AC25" s="32"/>
      <c r="AD25" s="32"/>
      <c r="AE25" s="32"/>
      <c r="AF25" s="32"/>
      <c r="AH25" s="159"/>
      <c r="AI25" s="149"/>
      <c r="AJ25" s="150"/>
      <c r="AK25" s="150"/>
      <c r="AL25" s="150"/>
      <c r="AM25" s="151"/>
      <c r="AN25" s="152"/>
    </row>
    <row r="26" spans="1:40" ht="16.5" x14ac:dyDescent="0.35">
      <c r="A26" s="155">
        <v>46054</v>
      </c>
      <c r="B26">
        <v>1187.4000000000001</v>
      </c>
      <c r="C26" s="32">
        <v>4.3900000000000002E-2</v>
      </c>
      <c r="D26">
        <v>64900</v>
      </c>
      <c r="E26" s="32">
        <v>2.3699999999999999E-2</v>
      </c>
      <c r="F26">
        <v>60</v>
      </c>
      <c r="G26" s="32">
        <v>-6.25E-2</v>
      </c>
      <c r="H26">
        <v>40.42</v>
      </c>
      <c r="I26" s="32">
        <v>-0.2329</v>
      </c>
      <c r="J26">
        <v>17.079999999999998</v>
      </c>
      <c r="K26" s="32">
        <v>5.8200000000000002E-2</v>
      </c>
      <c r="L26">
        <v>1134.8</v>
      </c>
      <c r="M26" s="32">
        <v>-9.4600000000000004E-2</v>
      </c>
      <c r="N26">
        <v>25693.7</v>
      </c>
      <c r="O26" s="32">
        <v>1.47E-2</v>
      </c>
      <c r="P26">
        <v>23031.21</v>
      </c>
      <c r="Q26" s="32">
        <v>-1.84E-2</v>
      </c>
      <c r="R26">
        <v>7935.26</v>
      </c>
      <c r="S26" s="32">
        <v>-4.7300000000000002E-2</v>
      </c>
      <c r="T26">
        <v>995.35</v>
      </c>
      <c r="U26" s="32">
        <v>-6.3E-3</v>
      </c>
      <c r="V26">
        <v>1080.77</v>
      </c>
      <c r="W26" s="32">
        <v>-5.9700000000000003E-2</v>
      </c>
      <c r="X26" s="158">
        <v>23434</v>
      </c>
      <c r="Y26" s="32">
        <v>1.54E-2</v>
      </c>
      <c r="Z26" s="32"/>
      <c r="AA26" s="32"/>
      <c r="AB26" s="32"/>
      <c r="AC26" s="32"/>
      <c r="AD26" s="32"/>
      <c r="AE26" s="32"/>
      <c r="AF26" s="32"/>
      <c r="AH26" s="159"/>
      <c r="AI26" s="153"/>
      <c r="AJ26" s="150"/>
      <c r="AK26" s="150"/>
      <c r="AL26" s="150"/>
      <c r="AM26" s="151"/>
      <c r="AN26" s="154"/>
    </row>
    <row r="27" spans="1:40" ht="16.5" x14ac:dyDescent="0.35">
      <c r="A27" s="155">
        <v>46047</v>
      </c>
      <c r="B27">
        <v>1137.5</v>
      </c>
      <c r="C27" s="32">
        <v>-1.1000000000000001E-3</v>
      </c>
      <c r="D27">
        <v>63400</v>
      </c>
      <c r="E27" s="32">
        <v>-6.4899999999999999E-2</v>
      </c>
      <c r="F27">
        <v>64</v>
      </c>
      <c r="G27" s="32">
        <v>6.6699999999999995E-2</v>
      </c>
      <c r="H27">
        <v>52.69</v>
      </c>
      <c r="I27" s="32">
        <v>-6.9400000000000003E-2</v>
      </c>
      <c r="J27">
        <v>16.14</v>
      </c>
      <c r="K27" s="32">
        <v>9.4000000000000004E-3</v>
      </c>
      <c r="L27">
        <v>1253.4000000000001</v>
      </c>
      <c r="M27" s="32">
        <v>-0.1027</v>
      </c>
      <c r="N27">
        <v>25320.65</v>
      </c>
      <c r="O27" s="32">
        <v>1.09E-2</v>
      </c>
      <c r="P27">
        <v>23461.82</v>
      </c>
      <c r="Q27" s="32">
        <v>-1.6999999999999999E-3</v>
      </c>
      <c r="R27">
        <v>8329.61</v>
      </c>
      <c r="S27" s="32">
        <v>-6.9400000000000003E-2</v>
      </c>
      <c r="T27">
        <v>1001.65</v>
      </c>
      <c r="U27" s="32">
        <v>1.5E-3</v>
      </c>
      <c r="V27">
        <v>1149.44</v>
      </c>
      <c r="W27" s="32">
        <v>0.1565</v>
      </c>
      <c r="X27" s="158">
        <v>23079.5</v>
      </c>
      <c r="Y27" s="32">
        <v>1.6400000000000001E-2</v>
      </c>
      <c r="Z27" s="32"/>
      <c r="AA27" s="32"/>
      <c r="AB27" s="32"/>
      <c r="AC27" s="32"/>
      <c r="AD27" s="32"/>
      <c r="AE27" s="32"/>
      <c r="AF27" s="32"/>
      <c r="AH27" s="159"/>
      <c r="AI27" s="153"/>
      <c r="AJ27" s="150"/>
      <c r="AK27" s="150"/>
      <c r="AL27" s="150"/>
      <c r="AM27" s="151"/>
      <c r="AN27" s="154"/>
    </row>
    <row r="28" spans="1:40" ht="16.5" x14ac:dyDescent="0.35">
      <c r="A28" s="155">
        <v>46040</v>
      </c>
      <c r="B28">
        <v>1138.8</v>
      </c>
      <c r="C28" s="32">
        <v>-0.1517</v>
      </c>
      <c r="D28">
        <v>67800</v>
      </c>
      <c r="E28" s="32">
        <v>0.39510000000000001</v>
      </c>
      <c r="F28">
        <v>60</v>
      </c>
      <c r="G28" s="32">
        <v>-0.1176</v>
      </c>
      <c r="H28">
        <v>56.62</v>
      </c>
      <c r="I28" s="32">
        <v>-4.7000000000000002E-3</v>
      </c>
      <c r="J28">
        <v>15.99</v>
      </c>
      <c r="K28" s="32">
        <v>0.10349999999999999</v>
      </c>
      <c r="L28">
        <v>1396.8</v>
      </c>
      <c r="M28" s="32">
        <v>3.3E-3</v>
      </c>
      <c r="N28">
        <v>25048.65</v>
      </c>
      <c r="O28" s="32">
        <v>-2.5100000000000001E-2</v>
      </c>
      <c r="P28">
        <v>23501.24</v>
      </c>
      <c r="Q28" s="32">
        <v>-5.9999999999999995E-4</v>
      </c>
      <c r="R28">
        <v>8951.01</v>
      </c>
      <c r="S28" s="32">
        <v>-1.37E-2</v>
      </c>
      <c r="T28">
        <v>1000.12</v>
      </c>
      <c r="U28" s="32">
        <v>-0.01</v>
      </c>
      <c r="V28">
        <v>993.93</v>
      </c>
      <c r="W28" s="32">
        <v>4.1200000000000001E-2</v>
      </c>
      <c r="X28" s="158">
        <v>22706.2</v>
      </c>
      <c r="Y28" s="32">
        <v>-3.32E-2</v>
      </c>
      <c r="Z28" s="32"/>
      <c r="AA28" s="32"/>
      <c r="AB28" s="32"/>
      <c r="AC28" s="32"/>
      <c r="AD28" s="32"/>
      <c r="AE28" s="32"/>
      <c r="AF28" s="32"/>
      <c r="AH28" s="159"/>
      <c r="AI28" s="149"/>
      <c r="AJ28" s="150"/>
      <c r="AK28" s="150"/>
      <c r="AL28" s="150"/>
      <c r="AM28" s="151"/>
      <c r="AN28" s="152"/>
    </row>
    <row r="29" spans="1:40" ht="16.5" x14ac:dyDescent="0.35">
      <c r="A29" s="155">
        <v>46033</v>
      </c>
      <c r="B29">
        <v>1342.5</v>
      </c>
      <c r="C29" s="32">
        <v>4.1799999999999997E-2</v>
      </c>
      <c r="D29">
        <v>48600</v>
      </c>
      <c r="E29" s="32">
        <v>-1.32E-2</v>
      </c>
      <c r="F29">
        <v>68</v>
      </c>
      <c r="G29" s="32">
        <v>3.0300000000000001E-2</v>
      </c>
      <c r="H29">
        <v>56.89</v>
      </c>
      <c r="I29" s="32">
        <v>-1.34E-2</v>
      </c>
      <c r="J29">
        <v>14.49</v>
      </c>
      <c r="K29" s="32">
        <v>-2.69E-2</v>
      </c>
      <c r="L29">
        <v>1392.2</v>
      </c>
      <c r="M29" s="32">
        <v>-4.0899999999999999E-2</v>
      </c>
      <c r="N29">
        <v>25694.35</v>
      </c>
      <c r="O29" s="32">
        <v>4.0000000000000002E-4</v>
      </c>
      <c r="P29">
        <v>23515.39</v>
      </c>
      <c r="Q29" s="32">
        <v>-6.6E-3</v>
      </c>
      <c r="R29">
        <v>9075.41</v>
      </c>
      <c r="S29" s="32">
        <v>1.55E-2</v>
      </c>
      <c r="T29">
        <v>1010.21</v>
      </c>
      <c r="U29" s="32">
        <v>2.23E-2</v>
      </c>
      <c r="V29">
        <v>954.59</v>
      </c>
      <c r="W29" s="32">
        <v>7.0000000000000001E-3</v>
      </c>
      <c r="X29" s="158">
        <v>23485.3</v>
      </c>
      <c r="Y29" s="32">
        <v>8.0000000000000004E-4</v>
      </c>
      <c r="Z29" s="32"/>
      <c r="AA29" s="32"/>
      <c r="AB29" s="32"/>
      <c r="AC29" s="32"/>
      <c r="AD29" s="32"/>
      <c r="AE29" s="32"/>
      <c r="AF29" s="32"/>
      <c r="AH29" s="159"/>
      <c r="AI29" s="153"/>
      <c r="AJ29" s="150"/>
      <c r="AK29" s="150"/>
      <c r="AL29" s="150"/>
      <c r="AM29" s="151"/>
      <c r="AN29" s="154"/>
    </row>
    <row r="30" spans="1:40" ht="16.5" x14ac:dyDescent="0.35">
      <c r="A30" s="155">
        <v>46026</v>
      </c>
      <c r="B30">
        <v>1288.5999999999999</v>
      </c>
      <c r="C30" s="32">
        <v>-3.8800000000000001E-2</v>
      </c>
      <c r="D30">
        <v>49250</v>
      </c>
      <c r="E30" s="32">
        <v>-3.0499999999999999E-2</v>
      </c>
      <c r="F30">
        <v>66</v>
      </c>
      <c r="G30" s="32">
        <v>-4.3499999999999997E-2</v>
      </c>
      <c r="H30">
        <v>57.66</v>
      </c>
      <c r="I30" s="32">
        <v>-8.3000000000000001E-3</v>
      </c>
      <c r="J30">
        <v>14.89</v>
      </c>
      <c r="K30" s="32">
        <v>1.3599999999999999E-2</v>
      </c>
      <c r="L30">
        <v>1451.6</v>
      </c>
      <c r="M30" s="32">
        <v>3.8899999999999997E-2</v>
      </c>
      <c r="N30">
        <v>25683.3</v>
      </c>
      <c r="O30" s="32">
        <v>-2.4500000000000001E-2</v>
      </c>
      <c r="P30">
        <v>23671.35</v>
      </c>
      <c r="Q30" s="32">
        <v>1.8800000000000001E-2</v>
      </c>
      <c r="R30">
        <v>8936.75</v>
      </c>
      <c r="S30" s="32">
        <v>2.1600000000000001E-2</v>
      </c>
      <c r="T30">
        <v>988.17</v>
      </c>
      <c r="U30" s="32">
        <v>2.1299999999999999E-2</v>
      </c>
      <c r="V30">
        <v>947.92</v>
      </c>
      <c r="W30" s="32">
        <v>2.5000000000000001E-3</v>
      </c>
      <c r="X30" s="158">
        <v>23467.35</v>
      </c>
      <c r="Y30" s="32">
        <v>-2.6200000000000001E-2</v>
      </c>
      <c r="Z30" s="32"/>
      <c r="AA30" s="32"/>
      <c r="AB30" s="32"/>
      <c r="AC30" s="32"/>
      <c r="AD30" s="32"/>
      <c r="AE30" s="32"/>
      <c r="AF30" s="32"/>
      <c r="AH30" s="159"/>
      <c r="AI30" s="149"/>
      <c r="AJ30" s="150"/>
      <c r="AK30" s="150"/>
      <c r="AL30" s="150"/>
      <c r="AM30" s="151"/>
      <c r="AN30" s="152"/>
    </row>
    <row r="31" spans="1:40" ht="16.5" x14ac:dyDescent="0.35">
      <c r="A31" s="155">
        <v>46019</v>
      </c>
      <c r="B31">
        <v>1340.6</v>
      </c>
      <c r="C31" s="32">
        <v>1.9199999999999998E-2</v>
      </c>
      <c r="D31">
        <v>50800</v>
      </c>
      <c r="E31" s="32">
        <v>5.5E-2</v>
      </c>
      <c r="F31">
        <v>69</v>
      </c>
      <c r="G31" s="32">
        <v>6.1499999999999999E-2</v>
      </c>
      <c r="H31">
        <v>58.14</v>
      </c>
      <c r="I31" s="32">
        <v>-3.0499999999999999E-2</v>
      </c>
      <c r="J31">
        <v>14.69</v>
      </c>
      <c r="K31" s="32">
        <v>-9.4000000000000004E-3</v>
      </c>
      <c r="L31">
        <v>1397.2</v>
      </c>
      <c r="M31" s="32">
        <v>2.1299999999999999E-2</v>
      </c>
      <c r="N31">
        <v>26328.55</v>
      </c>
      <c r="O31" s="32">
        <v>1.0999999999999999E-2</v>
      </c>
      <c r="P31">
        <v>23235.63</v>
      </c>
      <c r="Q31" s="32">
        <v>-1.52E-2</v>
      </c>
      <c r="R31">
        <v>8748.1299999999992</v>
      </c>
      <c r="S31" s="32">
        <v>2.46E-2</v>
      </c>
      <c r="T31">
        <v>967.59</v>
      </c>
      <c r="U31" s="32">
        <v>2.7900000000000001E-2</v>
      </c>
      <c r="V31">
        <v>945.57</v>
      </c>
      <c r="W31" s="32">
        <v>2.8199999999999999E-2</v>
      </c>
      <c r="X31" s="158">
        <v>24099</v>
      </c>
      <c r="Y31" s="32">
        <v>1.34E-2</v>
      </c>
      <c r="Z31" s="32"/>
      <c r="AA31" s="32"/>
      <c r="AB31" s="32"/>
      <c r="AC31" s="32"/>
      <c r="AD31" s="32"/>
      <c r="AE31" s="32"/>
      <c r="AF31" s="32"/>
      <c r="AH31" s="159"/>
      <c r="AI31" s="153"/>
      <c r="AJ31" s="150"/>
      <c r="AK31" s="150"/>
      <c r="AL31" s="150"/>
      <c r="AM31" s="151"/>
      <c r="AN31" s="154"/>
    </row>
    <row r="32" spans="1:40" ht="16.5" x14ac:dyDescent="0.35">
      <c r="A32" s="155">
        <v>46012</v>
      </c>
      <c r="B32">
        <v>1315.3</v>
      </c>
      <c r="C32" s="32">
        <v>-1.55E-2</v>
      </c>
      <c r="D32">
        <v>48150</v>
      </c>
      <c r="E32" s="32">
        <v>4.9000000000000002E-2</v>
      </c>
      <c r="F32">
        <v>65</v>
      </c>
      <c r="G32" s="32">
        <v>0</v>
      </c>
      <c r="H32">
        <v>59.97</v>
      </c>
      <c r="I32" s="32">
        <v>2.7000000000000001E-3</v>
      </c>
      <c r="J32">
        <v>14.83</v>
      </c>
      <c r="K32" s="32">
        <v>3.7100000000000001E-2</v>
      </c>
      <c r="L32">
        <v>1368</v>
      </c>
      <c r="M32" s="32">
        <v>-6.7999999999999996E-3</v>
      </c>
      <c r="N32">
        <v>26042.3</v>
      </c>
      <c r="O32" s="32">
        <v>2.8999999999999998E-3</v>
      </c>
      <c r="P32">
        <v>23593.1</v>
      </c>
      <c r="Q32" s="32">
        <v>1.2200000000000001E-2</v>
      </c>
      <c r="R32">
        <v>8537.91</v>
      </c>
      <c r="S32" s="32">
        <v>-8.3000000000000001E-3</v>
      </c>
      <c r="T32">
        <v>941.37</v>
      </c>
      <c r="U32" s="32">
        <v>-3.3999999999999998E-3</v>
      </c>
      <c r="V32">
        <v>919.67</v>
      </c>
      <c r="W32" s="32">
        <v>4.7999999999999996E-3</v>
      </c>
      <c r="X32" s="158">
        <v>23780.25</v>
      </c>
      <c r="Y32" s="32">
        <v>4.3E-3</v>
      </c>
      <c r="Z32" s="32"/>
      <c r="AA32" s="32"/>
      <c r="AB32" s="32"/>
      <c r="AC32" s="32"/>
      <c r="AD32" s="32"/>
      <c r="AE32" s="32"/>
      <c r="AF32" s="32"/>
      <c r="AH32" s="159"/>
      <c r="AI32" s="153"/>
      <c r="AJ32" s="150"/>
      <c r="AK32" s="150"/>
      <c r="AL32" s="150"/>
      <c r="AM32" s="151"/>
      <c r="AN32" s="154"/>
    </row>
    <row r="33" spans="1:40" ht="16.5" x14ac:dyDescent="0.35">
      <c r="A33" s="155">
        <v>46005</v>
      </c>
      <c r="B33">
        <v>1336</v>
      </c>
      <c r="C33" s="32">
        <v>2.4E-2</v>
      </c>
      <c r="D33">
        <v>45900</v>
      </c>
      <c r="E33" s="32">
        <v>-3.1600000000000003E-2</v>
      </c>
      <c r="F33">
        <v>65</v>
      </c>
      <c r="G33" s="32">
        <v>-1.52E-2</v>
      </c>
      <c r="H33">
        <v>59.81</v>
      </c>
      <c r="I33" s="32">
        <v>-0.03</v>
      </c>
      <c r="J33">
        <v>14.3</v>
      </c>
      <c r="K33" s="32">
        <v>-7.8E-2</v>
      </c>
      <c r="L33">
        <v>1377.4</v>
      </c>
      <c r="M33" s="32">
        <v>3.27E-2</v>
      </c>
      <c r="N33">
        <v>25966.400000000001</v>
      </c>
      <c r="O33" s="32">
        <v>-3.0999999999999999E-3</v>
      </c>
      <c r="P33">
        <v>23307.62</v>
      </c>
      <c r="Q33" s="32">
        <v>4.7999999999999996E-3</v>
      </c>
      <c r="R33">
        <v>8609.5499999999993</v>
      </c>
      <c r="S33" s="32">
        <v>-5.8999999999999999E-3</v>
      </c>
      <c r="T33">
        <v>944.59</v>
      </c>
      <c r="U33" s="32">
        <v>5.3E-3</v>
      </c>
      <c r="V33">
        <v>915.27</v>
      </c>
      <c r="W33" s="32">
        <v>-2.35E-2</v>
      </c>
      <c r="X33" s="158">
        <v>23677.55</v>
      </c>
      <c r="Y33" s="32">
        <v>-2.0999999999999999E-3</v>
      </c>
      <c r="Z33" s="32"/>
      <c r="AA33" s="32"/>
      <c r="AB33" s="32"/>
      <c r="AC33" s="32"/>
      <c r="AD33" s="32"/>
      <c r="AE33" s="32"/>
      <c r="AF33" s="32"/>
      <c r="AH33" s="159"/>
      <c r="AI33" s="149"/>
      <c r="AJ33" s="150"/>
      <c r="AK33" s="150"/>
      <c r="AL33" s="150"/>
      <c r="AM33" s="151"/>
      <c r="AN33" s="152"/>
    </row>
    <row r="34" spans="1:40" ht="16.5" x14ac:dyDescent="0.35">
      <c r="A34" s="155">
        <v>45998</v>
      </c>
      <c r="B34">
        <v>1304.7</v>
      </c>
      <c r="C34" s="32">
        <v>-2.9700000000000001E-2</v>
      </c>
      <c r="D34">
        <v>47400</v>
      </c>
      <c r="E34" s="32">
        <v>-2.2700000000000001E-2</v>
      </c>
      <c r="F34">
        <v>66</v>
      </c>
      <c r="G34" s="32">
        <v>3.1300000000000001E-2</v>
      </c>
      <c r="H34">
        <v>61.66</v>
      </c>
      <c r="I34" s="32">
        <v>-0.01</v>
      </c>
      <c r="J34">
        <v>15.51</v>
      </c>
      <c r="K34" s="32">
        <v>5.6500000000000002E-2</v>
      </c>
      <c r="L34">
        <v>1333.8</v>
      </c>
      <c r="M34" s="32">
        <v>-1.1599999999999999E-2</v>
      </c>
      <c r="N34">
        <v>26046.95</v>
      </c>
      <c r="O34" s="32">
        <v>-5.3E-3</v>
      </c>
      <c r="P34">
        <v>23195.17</v>
      </c>
      <c r="Q34" s="32">
        <v>-1.6199999999999999E-2</v>
      </c>
      <c r="R34">
        <v>8660.5</v>
      </c>
      <c r="S34" s="32">
        <v>3.2000000000000002E-3</v>
      </c>
      <c r="T34">
        <v>939.59</v>
      </c>
      <c r="U34" s="32">
        <v>-8.3000000000000001E-3</v>
      </c>
      <c r="V34">
        <v>937.34</v>
      </c>
      <c r="W34" s="32">
        <v>1.3599999999999999E-2</v>
      </c>
      <c r="X34" s="158">
        <v>23726.2</v>
      </c>
      <c r="Y34" s="32">
        <v>-4.5999999999999999E-3</v>
      </c>
      <c r="Z34" s="32"/>
      <c r="AA34" s="32"/>
      <c r="AB34" s="32"/>
      <c r="AC34" s="32"/>
      <c r="AD34" s="32"/>
      <c r="AE34" s="32"/>
      <c r="AF34" s="32"/>
      <c r="AH34" s="159"/>
      <c r="AI34" s="149"/>
      <c r="AJ34" s="150"/>
      <c r="AK34" s="150"/>
      <c r="AL34" s="150"/>
      <c r="AM34" s="151"/>
      <c r="AN34" s="152"/>
    </row>
    <row r="35" spans="1:40" ht="16.5" x14ac:dyDescent="0.35">
      <c r="A35" s="155">
        <v>45991</v>
      </c>
      <c r="B35">
        <v>1344.6</v>
      </c>
      <c r="C35" s="32">
        <v>1.8200000000000001E-2</v>
      </c>
      <c r="D35">
        <v>48500</v>
      </c>
      <c r="E35" s="32">
        <v>-2.2200000000000001E-2</v>
      </c>
      <c r="F35">
        <v>64</v>
      </c>
      <c r="G35" s="32">
        <v>0</v>
      </c>
      <c r="H35">
        <v>62.28</v>
      </c>
      <c r="I35" s="32">
        <v>-6.4999999999999997E-3</v>
      </c>
      <c r="J35">
        <v>14.68</v>
      </c>
      <c r="K35" s="32">
        <v>-0.1288</v>
      </c>
      <c r="L35">
        <v>1349.4</v>
      </c>
      <c r="M35" s="32">
        <v>6.6E-3</v>
      </c>
      <c r="N35">
        <v>26186.45</v>
      </c>
      <c r="O35" s="32">
        <v>-5.9999999999999995E-4</v>
      </c>
      <c r="P35">
        <v>23578.13</v>
      </c>
      <c r="Q35" s="32">
        <v>9.1000000000000004E-3</v>
      </c>
      <c r="R35">
        <v>8632.76</v>
      </c>
      <c r="S35" s="32">
        <v>1.46E-2</v>
      </c>
      <c r="T35">
        <v>947.5</v>
      </c>
      <c r="U35" s="32">
        <v>4.4000000000000003E-3</v>
      </c>
      <c r="V35">
        <v>924.74</v>
      </c>
      <c r="W35" s="32">
        <v>1.32E-2</v>
      </c>
      <c r="X35" s="158">
        <v>23835.25</v>
      </c>
      <c r="Y35" s="32">
        <v>-4.1000000000000003E-3</v>
      </c>
      <c r="Z35" s="32"/>
      <c r="AA35" s="32"/>
      <c r="AB35" s="32"/>
      <c r="AC35" s="32"/>
      <c r="AD35" s="32"/>
      <c r="AE35" s="32"/>
      <c r="AF35" s="32"/>
      <c r="AH35" s="159"/>
      <c r="AI35" s="149"/>
      <c r="AJ35" s="150"/>
      <c r="AK35" s="150"/>
      <c r="AL35" s="150"/>
      <c r="AM35" s="151"/>
      <c r="AN35" s="152"/>
    </row>
    <row r="36" spans="1:40" ht="16.5" x14ac:dyDescent="0.35">
      <c r="A36" s="155">
        <v>45984</v>
      </c>
      <c r="B36">
        <v>1320.6</v>
      </c>
      <c r="C36" s="32">
        <v>4.3299999999999998E-2</v>
      </c>
      <c r="D36">
        <v>49600</v>
      </c>
      <c r="E36" s="32">
        <v>8.0999999999999996E-3</v>
      </c>
      <c r="F36">
        <v>64</v>
      </c>
      <c r="G36" s="32">
        <v>0</v>
      </c>
      <c r="H36">
        <v>62.69</v>
      </c>
      <c r="I36" s="32">
        <v>3.5000000000000003E-2</v>
      </c>
      <c r="J36">
        <v>16.850000000000001</v>
      </c>
      <c r="K36" s="32">
        <v>0.12559999999999999</v>
      </c>
      <c r="L36">
        <v>1340.6</v>
      </c>
      <c r="M36" s="32">
        <v>3.04E-2</v>
      </c>
      <c r="N36">
        <v>26202.95</v>
      </c>
      <c r="O36" s="32">
        <v>5.1999999999999998E-3</v>
      </c>
      <c r="P36">
        <v>23365.69</v>
      </c>
      <c r="Q36" s="32">
        <v>4.9099999999999998E-2</v>
      </c>
      <c r="R36">
        <v>8508.7099999999991</v>
      </c>
      <c r="S36" s="32">
        <v>1.12E-2</v>
      </c>
      <c r="T36">
        <v>943.37</v>
      </c>
      <c r="U36" s="32">
        <v>1.7999999999999999E-2</v>
      </c>
      <c r="V36">
        <v>912.67</v>
      </c>
      <c r="W36" s="32">
        <v>5.6399999999999999E-2</v>
      </c>
      <c r="X36" s="158">
        <v>23933.200000000001</v>
      </c>
      <c r="Y36" s="32">
        <v>6.0000000000000001E-3</v>
      </c>
      <c r="Z36" s="32"/>
      <c r="AA36" s="32"/>
      <c r="AB36" s="32"/>
      <c r="AC36" s="32"/>
      <c r="AD36" s="32"/>
      <c r="AE36" s="32"/>
      <c r="AF36" s="32"/>
      <c r="AH36" s="159"/>
      <c r="AI36" s="153"/>
      <c r="AJ36" s="150"/>
      <c r="AK36" s="150"/>
      <c r="AL36" s="150"/>
      <c r="AM36" s="151"/>
      <c r="AN36" s="154"/>
    </row>
    <row r="37" spans="1:40" ht="16.5" x14ac:dyDescent="0.35">
      <c r="A37" s="155">
        <v>45977</v>
      </c>
      <c r="B37">
        <v>1265.8</v>
      </c>
      <c r="C37" s="32">
        <v>-2.5700000000000001E-2</v>
      </c>
      <c r="D37">
        <v>49200</v>
      </c>
      <c r="E37" s="32">
        <v>-5.3800000000000001E-2</v>
      </c>
      <c r="F37">
        <v>64</v>
      </c>
      <c r="G37" s="32">
        <v>-1.54E-2</v>
      </c>
      <c r="H37">
        <v>60.57</v>
      </c>
      <c r="I37" s="32">
        <v>-3.5700000000000003E-2</v>
      </c>
      <c r="J37">
        <v>14.97</v>
      </c>
      <c r="K37" s="32">
        <v>-0.10730000000000001</v>
      </c>
      <c r="L37">
        <v>1301</v>
      </c>
      <c r="M37" s="32">
        <v>-7.6300000000000007E-2</v>
      </c>
      <c r="N37">
        <v>26068.15</v>
      </c>
      <c r="O37" s="32">
        <v>6.1000000000000004E-3</v>
      </c>
      <c r="P37">
        <v>22273.08</v>
      </c>
      <c r="Q37" s="32">
        <v>-2.7400000000000001E-2</v>
      </c>
      <c r="R37">
        <v>8414.35</v>
      </c>
      <c r="S37" s="32">
        <v>5.1999999999999998E-3</v>
      </c>
      <c r="T37">
        <v>926.69</v>
      </c>
      <c r="U37" s="32">
        <v>-2.6499999999999999E-2</v>
      </c>
      <c r="V37">
        <v>863.95</v>
      </c>
      <c r="W37" s="32">
        <v>-3.78E-2</v>
      </c>
      <c r="X37" s="158">
        <v>23790.25</v>
      </c>
      <c r="Y37" s="32">
        <v>-1.9E-3</v>
      </c>
      <c r="Z37" s="32"/>
      <c r="AA37" s="32"/>
      <c r="AB37" s="32"/>
      <c r="AC37" s="32"/>
      <c r="AD37" s="32"/>
      <c r="AE37" s="32"/>
      <c r="AF37" s="32"/>
      <c r="AH37" s="159"/>
      <c r="AI37" s="149"/>
      <c r="AJ37" s="150"/>
      <c r="AK37" s="150"/>
      <c r="AL37" s="150"/>
      <c r="AM37" s="151"/>
      <c r="AN37" s="152"/>
    </row>
    <row r="38" spans="1:40" ht="16.5" x14ac:dyDescent="0.35">
      <c r="A38" s="155">
        <v>45970</v>
      </c>
      <c r="B38">
        <v>1299.2</v>
      </c>
      <c r="C38" s="32">
        <v>-3.5099999999999999E-2</v>
      </c>
      <c r="D38">
        <v>52000</v>
      </c>
      <c r="E38" s="32">
        <v>2.5600000000000001E-2</v>
      </c>
      <c r="F38">
        <v>65</v>
      </c>
      <c r="G38" s="32">
        <v>6.5600000000000006E-2</v>
      </c>
      <c r="H38">
        <v>62.81</v>
      </c>
      <c r="I38" s="32">
        <v>-5.1499999999999997E-2</v>
      </c>
      <c r="J38">
        <v>16.77</v>
      </c>
      <c r="K38" s="32">
        <v>-3.5999999999999999E-3</v>
      </c>
      <c r="L38">
        <v>1408.4</v>
      </c>
      <c r="M38" s="32">
        <v>5.3199999999999997E-2</v>
      </c>
      <c r="N38">
        <v>25910.05</v>
      </c>
      <c r="O38" s="32">
        <v>1.6400000000000001E-2</v>
      </c>
      <c r="P38">
        <v>22900.59</v>
      </c>
      <c r="Q38" s="32">
        <v>-4.4999999999999997E-3</v>
      </c>
      <c r="R38">
        <v>8370.44</v>
      </c>
      <c r="S38" s="32">
        <v>-2.8999999999999998E-3</v>
      </c>
      <c r="T38">
        <v>951.92</v>
      </c>
      <c r="U38" s="32">
        <v>1.1999999999999999E-3</v>
      </c>
      <c r="V38">
        <v>897.9</v>
      </c>
      <c r="W38" s="32">
        <v>2.41E-2</v>
      </c>
      <c r="X38" s="158">
        <v>23836.35</v>
      </c>
      <c r="Y38" s="32">
        <v>1.34E-2</v>
      </c>
      <c r="Z38" s="32"/>
      <c r="AA38" s="32"/>
      <c r="AB38" s="32"/>
      <c r="AC38" s="32"/>
      <c r="AD38" s="32"/>
      <c r="AE38" s="32"/>
      <c r="AF38" s="32"/>
      <c r="AH38" s="159"/>
      <c r="AI38" s="153"/>
      <c r="AJ38" s="150"/>
      <c r="AK38" s="150"/>
      <c r="AL38" s="150"/>
      <c r="AM38" s="151"/>
      <c r="AN38" s="154"/>
    </row>
    <row r="39" spans="1:40" ht="16.5" x14ac:dyDescent="0.35">
      <c r="A39" s="155">
        <v>45963</v>
      </c>
      <c r="B39">
        <v>1346.5</v>
      </c>
      <c r="C39" s="32">
        <v>3.32E-2</v>
      </c>
      <c r="D39">
        <v>50700</v>
      </c>
      <c r="E39" s="32">
        <v>-3.0599999999999999E-2</v>
      </c>
      <c r="F39">
        <v>61</v>
      </c>
      <c r="G39" s="32">
        <v>1.67E-2</v>
      </c>
      <c r="H39">
        <v>66.22</v>
      </c>
      <c r="I39" s="32">
        <v>-4.3999999999999997E-2</v>
      </c>
      <c r="J39">
        <v>16.829999999999998</v>
      </c>
      <c r="K39" s="32">
        <v>-0.1147</v>
      </c>
      <c r="L39">
        <v>1337.2</v>
      </c>
      <c r="M39" s="32">
        <v>-0.1017</v>
      </c>
      <c r="N39">
        <v>25492.3</v>
      </c>
      <c r="O39" s="32">
        <v>-8.8999999999999999E-3</v>
      </c>
      <c r="P39">
        <v>23004.54</v>
      </c>
      <c r="Q39" s="32">
        <v>-3.04E-2</v>
      </c>
      <c r="R39">
        <v>8394.59</v>
      </c>
      <c r="S39" s="32">
        <v>2.8299999999999999E-2</v>
      </c>
      <c r="T39">
        <v>950.77</v>
      </c>
      <c r="U39" s="32">
        <v>-2.1299999999999999E-2</v>
      </c>
      <c r="V39">
        <v>876.81</v>
      </c>
      <c r="W39" s="32">
        <v>-2.6200000000000001E-2</v>
      </c>
      <c r="X39" s="158">
        <v>23521.5</v>
      </c>
      <c r="Y39" s="32">
        <v>-8.0000000000000002E-3</v>
      </c>
      <c r="Z39" s="32"/>
      <c r="AA39" s="32"/>
      <c r="AB39" s="32"/>
      <c r="AC39" s="32"/>
      <c r="AD39" s="32"/>
      <c r="AE39" s="32"/>
      <c r="AF39" s="32"/>
      <c r="AH39" s="159"/>
      <c r="AI39" s="149"/>
      <c r="AJ39" s="150"/>
      <c r="AK39" s="150"/>
      <c r="AL39" s="150"/>
      <c r="AM39" s="151"/>
      <c r="AN39" s="152"/>
    </row>
    <row r="40" spans="1:40" ht="16.5" x14ac:dyDescent="0.35">
      <c r="A40" s="155">
        <v>45956</v>
      </c>
      <c r="B40">
        <v>1303.2</v>
      </c>
      <c r="C40" s="32">
        <v>1.26E-2</v>
      </c>
      <c r="D40">
        <v>52300</v>
      </c>
      <c r="E40" s="32">
        <v>1.9E-3</v>
      </c>
      <c r="F40">
        <v>60</v>
      </c>
      <c r="G40" s="32">
        <v>9.0899999999999995E-2</v>
      </c>
      <c r="H40">
        <v>69.27</v>
      </c>
      <c r="I40" s="32">
        <v>-7.1999999999999998E-3</v>
      </c>
      <c r="J40">
        <v>19.010000000000002</v>
      </c>
      <c r="K40" s="32">
        <v>5.0000000000000001E-4</v>
      </c>
      <c r="L40">
        <v>1488.6</v>
      </c>
      <c r="M40" s="32">
        <v>-1.5900000000000001E-2</v>
      </c>
      <c r="N40">
        <v>25722.1</v>
      </c>
      <c r="O40" s="32">
        <v>-2.8E-3</v>
      </c>
      <c r="P40">
        <v>23724.959999999999</v>
      </c>
      <c r="Q40" s="32">
        <v>2.24E-2</v>
      </c>
      <c r="R40">
        <v>8163.88</v>
      </c>
      <c r="S40" s="32">
        <v>-1.2999999999999999E-2</v>
      </c>
      <c r="T40">
        <v>971.46</v>
      </c>
      <c r="U40" s="32">
        <v>-7.7000000000000002E-3</v>
      </c>
      <c r="V40">
        <v>900.42</v>
      </c>
      <c r="W40" s="32">
        <v>1.9599999999999999E-2</v>
      </c>
      <c r="X40" s="158">
        <v>23710.400000000001</v>
      </c>
      <c r="Y40" s="32">
        <v>1E-3</v>
      </c>
      <c r="Z40" s="32"/>
      <c r="AA40" s="32"/>
      <c r="AB40" s="32"/>
      <c r="AC40" s="32"/>
      <c r="AD40" s="32"/>
      <c r="AE40" s="32"/>
      <c r="AF40" s="32"/>
      <c r="AH40" s="159"/>
      <c r="AI40" s="153"/>
      <c r="AJ40" s="150"/>
      <c r="AK40" s="150"/>
      <c r="AL40" s="150"/>
      <c r="AM40" s="151"/>
      <c r="AN40" s="154"/>
    </row>
    <row r="41" spans="1:40" ht="16.5" x14ac:dyDescent="0.35">
      <c r="A41" s="155">
        <v>45949</v>
      </c>
      <c r="B41">
        <v>1287</v>
      </c>
      <c r="C41" s="32">
        <v>1.2999999999999999E-3</v>
      </c>
      <c r="D41">
        <v>52200</v>
      </c>
      <c r="E41" s="32">
        <v>3.5700000000000003E-2</v>
      </c>
      <c r="F41">
        <v>55</v>
      </c>
      <c r="G41" s="32">
        <v>0</v>
      </c>
      <c r="H41">
        <v>69.77</v>
      </c>
      <c r="I41" s="32">
        <v>3.5000000000000003E-2</v>
      </c>
      <c r="J41">
        <v>19</v>
      </c>
      <c r="K41" s="32">
        <v>6.3799999999999996E-2</v>
      </c>
      <c r="L41">
        <v>1512.6</v>
      </c>
      <c r="M41" s="32">
        <v>4.5600000000000002E-2</v>
      </c>
      <c r="N41">
        <v>25795.15</v>
      </c>
      <c r="O41" s="32">
        <v>3.3E-3</v>
      </c>
      <c r="P41">
        <v>23204.87</v>
      </c>
      <c r="Q41" s="32">
        <v>2.3099999999999999E-2</v>
      </c>
      <c r="R41">
        <v>8271.7199999999993</v>
      </c>
      <c r="S41" s="32">
        <v>4.4999999999999998E-2</v>
      </c>
      <c r="T41">
        <v>978.97</v>
      </c>
      <c r="U41" s="32">
        <v>2.4199999999999999E-2</v>
      </c>
      <c r="V41">
        <v>883.08</v>
      </c>
      <c r="W41" s="32">
        <v>2.7400000000000001E-2</v>
      </c>
      <c r="X41" s="158">
        <v>23686.6</v>
      </c>
      <c r="Y41" s="32">
        <v>3.8E-3</v>
      </c>
      <c r="Z41" s="32"/>
      <c r="AA41" s="32"/>
      <c r="AB41" s="32"/>
      <c r="AC41" s="32"/>
      <c r="AD41" s="32"/>
      <c r="AE41" s="32"/>
      <c r="AF41" s="32"/>
      <c r="AH41" s="159"/>
      <c r="AI41" s="153"/>
      <c r="AJ41" s="150"/>
      <c r="AK41" s="150"/>
      <c r="AL41" s="150"/>
      <c r="AM41" s="151"/>
      <c r="AN41" s="154"/>
    </row>
    <row r="42" spans="1:40" ht="16.5" x14ac:dyDescent="0.35">
      <c r="A42" s="155">
        <v>45942</v>
      </c>
      <c r="B42">
        <v>1285.3</v>
      </c>
      <c r="C42" s="32">
        <v>3.9100000000000003E-2</v>
      </c>
      <c r="D42">
        <v>50400</v>
      </c>
      <c r="E42" s="32">
        <v>-4.5499999999999999E-2</v>
      </c>
      <c r="F42">
        <v>55</v>
      </c>
      <c r="G42" s="32">
        <v>1.8499999999999999E-2</v>
      </c>
      <c r="H42">
        <v>67.41</v>
      </c>
      <c r="I42" s="32">
        <v>-3.4799999999999998E-2</v>
      </c>
      <c r="J42">
        <v>17.86</v>
      </c>
      <c r="K42" s="32">
        <v>3.5999999999999997E-2</v>
      </c>
      <c r="L42">
        <v>1446.6</v>
      </c>
      <c r="M42" s="32">
        <v>-1.43E-2</v>
      </c>
      <c r="N42">
        <v>25709.85</v>
      </c>
      <c r="O42" s="32">
        <v>1.6799999999999999E-2</v>
      </c>
      <c r="P42">
        <v>22679.97</v>
      </c>
      <c r="Q42" s="32">
        <v>2.1399999999999999E-2</v>
      </c>
      <c r="R42">
        <v>7915.66</v>
      </c>
      <c r="S42" s="32">
        <v>-4.1399999999999999E-2</v>
      </c>
      <c r="T42">
        <v>955.86</v>
      </c>
      <c r="U42" s="32">
        <v>1.6400000000000001E-2</v>
      </c>
      <c r="V42">
        <v>859.54</v>
      </c>
      <c r="W42" s="32">
        <v>1E-4</v>
      </c>
      <c r="X42" s="158">
        <v>23598.05</v>
      </c>
      <c r="Y42" s="32">
        <v>1.12E-2</v>
      </c>
      <c r="Z42" s="32"/>
      <c r="AA42" s="32"/>
      <c r="AB42" s="32"/>
      <c r="AC42" s="32"/>
      <c r="AD42" s="32"/>
      <c r="AE42" s="32"/>
      <c r="AF42" s="32"/>
      <c r="AH42" s="159"/>
      <c r="AI42" s="153"/>
      <c r="AJ42" s="150"/>
      <c r="AK42" s="150"/>
      <c r="AL42" s="150"/>
      <c r="AM42" s="151"/>
      <c r="AN42" s="154"/>
    </row>
    <row r="43" spans="1:40" ht="16.5" x14ac:dyDescent="0.35">
      <c r="A43" s="155">
        <v>45935</v>
      </c>
      <c r="B43">
        <v>1236.9000000000001</v>
      </c>
      <c r="C43" s="32">
        <v>5.8999999999999997E-2</v>
      </c>
      <c r="D43">
        <v>52800</v>
      </c>
      <c r="E43" s="32">
        <v>5.7000000000000002E-3</v>
      </c>
      <c r="F43">
        <v>54</v>
      </c>
      <c r="G43" s="32">
        <v>-5.2600000000000001E-2</v>
      </c>
      <c r="H43">
        <v>69.84</v>
      </c>
      <c r="I43" s="32">
        <v>8.5000000000000006E-3</v>
      </c>
      <c r="J43">
        <v>17.239999999999998</v>
      </c>
      <c r="K43" s="32">
        <v>-4.0599999999999997E-2</v>
      </c>
      <c r="L43">
        <v>1467.6</v>
      </c>
      <c r="M43" s="32">
        <v>1.52E-2</v>
      </c>
      <c r="N43">
        <v>25285.35</v>
      </c>
      <c r="O43" s="32">
        <v>1.5699999999999999E-2</v>
      </c>
      <c r="P43">
        <v>22204.43</v>
      </c>
      <c r="Q43" s="32">
        <v>-2.53E-2</v>
      </c>
      <c r="R43">
        <v>8257.86</v>
      </c>
      <c r="S43" s="32">
        <v>1.72E-2</v>
      </c>
      <c r="T43">
        <v>940.46</v>
      </c>
      <c r="U43" s="32">
        <v>-2.1899999999999999E-2</v>
      </c>
      <c r="V43">
        <v>859.49</v>
      </c>
      <c r="W43" s="32">
        <v>6.1000000000000004E-3</v>
      </c>
      <c r="X43" s="158">
        <v>23337.55</v>
      </c>
      <c r="Y43" s="32">
        <v>1.35E-2</v>
      </c>
      <c r="Z43" s="32"/>
      <c r="AA43" s="32"/>
      <c r="AB43" s="32"/>
      <c r="AC43" s="32"/>
      <c r="AD43" s="32"/>
      <c r="AE43" s="32"/>
      <c r="AF43" s="32"/>
      <c r="AH43" s="159"/>
      <c r="AI43" s="153"/>
      <c r="AJ43" s="150"/>
      <c r="AK43" s="150"/>
      <c r="AL43" s="150"/>
      <c r="AM43" s="151"/>
      <c r="AN43" s="154"/>
    </row>
    <row r="44" spans="1:40" ht="16.5" x14ac:dyDescent="0.35">
      <c r="A44" s="155">
        <v>45928</v>
      </c>
      <c r="B44">
        <v>1168</v>
      </c>
      <c r="C44" s="32">
        <v>3.7999999999999999E-2</v>
      </c>
      <c r="D44">
        <v>52500</v>
      </c>
      <c r="E44" s="32">
        <v>-9.4000000000000004E-3</v>
      </c>
      <c r="F44">
        <v>57</v>
      </c>
      <c r="G44" s="32">
        <v>0</v>
      </c>
      <c r="H44">
        <v>69.25</v>
      </c>
      <c r="I44" s="32">
        <v>2.9000000000000001E-2</v>
      </c>
      <c r="J44">
        <v>17.97</v>
      </c>
      <c r="K44" s="32">
        <v>-4.0099999999999997E-2</v>
      </c>
      <c r="L44">
        <v>1445.6</v>
      </c>
      <c r="M44" s="32">
        <v>6.8400000000000002E-2</v>
      </c>
      <c r="N44">
        <v>24894.25</v>
      </c>
      <c r="O44" s="32">
        <v>9.7000000000000003E-3</v>
      </c>
      <c r="P44">
        <v>22780.51</v>
      </c>
      <c r="Q44" s="32">
        <v>1.32E-2</v>
      </c>
      <c r="R44">
        <v>8118.3</v>
      </c>
      <c r="S44" s="32">
        <v>2.3E-3</v>
      </c>
      <c r="T44">
        <v>961.51</v>
      </c>
      <c r="U44" s="32">
        <v>2.47E-2</v>
      </c>
      <c r="V44">
        <v>854.25</v>
      </c>
      <c r="W44" s="32">
        <v>2.2800000000000001E-2</v>
      </c>
      <c r="X44" s="158">
        <v>23027.7</v>
      </c>
      <c r="Y44" s="32">
        <v>1.38E-2</v>
      </c>
      <c r="Z44" s="32"/>
      <c r="AA44" s="32"/>
      <c r="AB44" s="32"/>
      <c r="AC44" s="32"/>
      <c r="AD44" s="32"/>
      <c r="AE44" s="32"/>
      <c r="AF44" s="32"/>
      <c r="AH44" s="159"/>
      <c r="AI44" s="153"/>
      <c r="AJ44" s="150"/>
      <c r="AK44" s="150"/>
      <c r="AL44" s="150"/>
      <c r="AM44" s="151"/>
      <c r="AN44" s="154"/>
    </row>
    <row r="45" spans="1:40" ht="16.5" x14ac:dyDescent="0.35">
      <c r="A45" s="155">
        <v>45921</v>
      </c>
      <c r="B45">
        <v>1125.2</v>
      </c>
      <c r="C45" s="32">
        <v>-4.4200000000000003E-2</v>
      </c>
      <c r="D45">
        <v>53000</v>
      </c>
      <c r="E45" s="32">
        <v>-6.1899999999999997E-2</v>
      </c>
      <c r="F45">
        <v>57</v>
      </c>
      <c r="G45" s="32">
        <v>3.6400000000000002E-2</v>
      </c>
      <c r="H45">
        <v>67.3</v>
      </c>
      <c r="I45" s="32">
        <v>-1.35E-2</v>
      </c>
      <c r="J45">
        <v>18.72</v>
      </c>
      <c r="K45" s="32">
        <v>-3.5099999999999999E-2</v>
      </c>
      <c r="L45">
        <v>1353</v>
      </c>
      <c r="M45" s="32">
        <v>-1.9400000000000001E-2</v>
      </c>
      <c r="N45">
        <v>24654.7</v>
      </c>
      <c r="O45" s="32">
        <v>-2.6499999999999999E-2</v>
      </c>
      <c r="P45">
        <v>22484.07</v>
      </c>
      <c r="Q45" s="32">
        <v>-6.4999999999999997E-3</v>
      </c>
      <c r="R45">
        <v>8099.33</v>
      </c>
      <c r="S45" s="32">
        <v>6.0000000000000001E-3</v>
      </c>
      <c r="T45">
        <v>938.35</v>
      </c>
      <c r="U45" s="32">
        <v>8.9999999999999993E-3</v>
      </c>
      <c r="V45">
        <v>835.19</v>
      </c>
      <c r="W45" s="32">
        <v>-3.2300000000000002E-2</v>
      </c>
      <c r="X45" s="158">
        <v>22713.15</v>
      </c>
      <c r="Y45" s="32">
        <v>-3.2899999999999999E-2</v>
      </c>
      <c r="Z45" s="32"/>
      <c r="AA45" s="32"/>
      <c r="AB45" s="32"/>
      <c r="AC45" s="32"/>
      <c r="AD45" s="32"/>
      <c r="AE45" s="32"/>
      <c r="AF45" s="32"/>
      <c r="AH45" s="159"/>
      <c r="AI45" s="149"/>
      <c r="AJ45" s="150"/>
      <c r="AK45" s="150"/>
      <c r="AL45" s="150"/>
      <c r="AM45" s="151"/>
      <c r="AN45" s="152"/>
    </row>
    <row r="46" spans="1:40" ht="16.5" x14ac:dyDescent="0.35">
      <c r="A46" s="155">
        <v>45914</v>
      </c>
      <c r="B46">
        <v>1177.2</v>
      </c>
      <c r="C46" s="32">
        <v>-3.4299999999999997E-2</v>
      </c>
      <c r="D46">
        <v>56500</v>
      </c>
      <c r="E46" s="32">
        <v>1.6199999999999999E-2</v>
      </c>
      <c r="F46">
        <v>55</v>
      </c>
      <c r="G46" s="32">
        <v>-3.5099999999999999E-2</v>
      </c>
      <c r="H46">
        <v>68.22</v>
      </c>
      <c r="I46" s="32">
        <v>1.9900000000000001E-2</v>
      </c>
      <c r="J46">
        <v>19.399999999999999</v>
      </c>
      <c r="K46" s="32">
        <v>6.0699999999999997E-2</v>
      </c>
      <c r="L46">
        <v>1379.8</v>
      </c>
      <c r="M46" s="32">
        <v>2.5700000000000001E-2</v>
      </c>
      <c r="N46">
        <v>25327.05</v>
      </c>
      <c r="O46" s="32">
        <v>8.5000000000000006E-3</v>
      </c>
      <c r="P46">
        <v>22631.48</v>
      </c>
      <c r="Q46" s="32">
        <v>2.2100000000000002E-2</v>
      </c>
      <c r="R46">
        <v>8051.12</v>
      </c>
      <c r="S46" s="32">
        <v>2.5100000000000001E-2</v>
      </c>
      <c r="T46">
        <v>929.94</v>
      </c>
      <c r="U46" s="32">
        <v>2.3199999999999998E-2</v>
      </c>
      <c r="V46">
        <v>863.11</v>
      </c>
      <c r="W46" s="32">
        <v>1.89E-2</v>
      </c>
      <c r="X46" s="158">
        <v>23486.65</v>
      </c>
      <c r="Y46" s="32">
        <v>1.2800000000000001E-2</v>
      </c>
      <c r="Z46" s="32"/>
      <c r="AA46" s="32"/>
      <c r="AB46" s="32"/>
      <c r="AC46" s="32"/>
      <c r="AD46" s="32"/>
      <c r="AE46" s="32"/>
      <c r="AF46" s="32"/>
      <c r="AH46" s="159"/>
      <c r="AI46" s="153"/>
      <c r="AJ46" s="150"/>
      <c r="AK46" s="150"/>
      <c r="AL46" s="150"/>
      <c r="AM46" s="151"/>
      <c r="AN46" s="154"/>
    </row>
    <row r="47" spans="1:40" ht="16.5" x14ac:dyDescent="0.35">
      <c r="A47" s="155">
        <v>45907</v>
      </c>
      <c r="B47">
        <v>1219</v>
      </c>
      <c r="C47" s="32">
        <v>-2.8500000000000001E-2</v>
      </c>
      <c r="D47">
        <v>55600</v>
      </c>
      <c r="E47" s="32">
        <v>8.1699999999999995E-2</v>
      </c>
      <c r="F47">
        <v>57</v>
      </c>
      <c r="G47" s="32">
        <v>-3.39E-2</v>
      </c>
      <c r="H47">
        <v>66.89</v>
      </c>
      <c r="I47" s="32">
        <v>-2.01E-2</v>
      </c>
      <c r="J47">
        <v>18.29</v>
      </c>
      <c r="K47" s="32">
        <v>5.7200000000000001E-2</v>
      </c>
      <c r="L47">
        <v>1345.2</v>
      </c>
      <c r="M47" s="32">
        <v>-2.9700000000000001E-2</v>
      </c>
      <c r="N47">
        <v>25114</v>
      </c>
      <c r="O47" s="32">
        <v>1.5100000000000001E-2</v>
      </c>
      <c r="P47">
        <v>22141.1</v>
      </c>
      <c r="Q47" s="32">
        <v>2.0299999999999999E-2</v>
      </c>
      <c r="R47">
        <v>7854.06</v>
      </c>
      <c r="S47" s="32">
        <v>-1.6999999999999999E-3</v>
      </c>
      <c r="T47">
        <v>908.89</v>
      </c>
      <c r="U47" s="32">
        <v>1.14E-2</v>
      </c>
      <c r="V47">
        <v>847.08</v>
      </c>
      <c r="W47" s="32">
        <v>4.3999999999999997E-2</v>
      </c>
      <c r="X47" s="158">
        <v>23190.25</v>
      </c>
      <c r="Y47" s="32">
        <v>1.5800000000000002E-2</v>
      </c>
      <c r="Z47" s="32"/>
      <c r="AA47" s="32"/>
      <c r="AB47" s="32"/>
      <c r="AC47" s="32"/>
      <c r="AD47" s="32"/>
      <c r="AE47" s="32"/>
      <c r="AF47" s="32"/>
      <c r="AH47" s="159"/>
      <c r="AI47" s="153"/>
      <c r="AJ47" s="150"/>
      <c r="AK47" s="150"/>
      <c r="AL47" s="150"/>
      <c r="AM47" s="151"/>
      <c r="AN47" s="154"/>
    </row>
    <row r="48" spans="1:40" ht="16.5" x14ac:dyDescent="0.35">
      <c r="A48" s="155">
        <v>45900</v>
      </c>
      <c r="B48">
        <v>1254.7</v>
      </c>
      <c r="C48" s="32">
        <v>3.95E-2</v>
      </c>
      <c r="D48">
        <v>51400</v>
      </c>
      <c r="E48" s="32">
        <v>-0.14050000000000001</v>
      </c>
      <c r="F48">
        <v>59</v>
      </c>
      <c r="G48" s="32">
        <v>1.72E-2</v>
      </c>
      <c r="H48">
        <v>68.260000000000005</v>
      </c>
      <c r="I48" s="32">
        <v>-2.75E-2</v>
      </c>
      <c r="J48">
        <v>17.3</v>
      </c>
      <c r="K48" s="32">
        <v>5.04E-2</v>
      </c>
      <c r="L48">
        <v>1386.4</v>
      </c>
      <c r="M48" s="32">
        <v>-3.3500000000000002E-2</v>
      </c>
      <c r="N48">
        <v>24741</v>
      </c>
      <c r="O48" s="32">
        <v>1.29E-2</v>
      </c>
      <c r="P48">
        <v>21700.39</v>
      </c>
      <c r="Q48" s="32">
        <v>1.14E-2</v>
      </c>
      <c r="R48">
        <v>7867.35</v>
      </c>
      <c r="S48" s="32">
        <v>4.7000000000000002E-3</v>
      </c>
      <c r="T48">
        <v>898.68</v>
      </c>
      <c r="U48" s="32">
        <v>2.3E-3</v>
      </c>
      <c r="V48">
        <v>811.4</v>
      </c>
      <c r="W48" s="32">
        <v>1.8200000000000001E-2</v>
      </c>
      <c r="X48" s="158">
        <v>22829.15</v>
      </c>
      <c r="Y48" s="32">
        <v>1.6299999999999999E-2</v>
      </c>
      <c r="Z48" s="32"/>
      <c r="AA48" s="32"/>
      <c r="AB48" s="32"/>
      <c r="AC48" s="32"/>
      <c r="AD48" s="32"/>
      <c r="AE48" s="32"/>
      <c r="AF48" s="32"/>
      <c r="AH48" s="159"/>
      <c r="AI48" s="153"/>
      <c r="AJ48" s="150"/>
      <c r="AK48" s="150"/>
      <c r="AL48" s="150"/>
      <c r="AM48" s="151"/>
      <c r="AN48" s="154"/>
    </row>
    <row r="49" spans="1:40" ht="16.5" x14ac:dyDescent="0.35">
      <c r="A49" s="155">
        <v>45893</v>
      </c>
      <c r="B49">
        <v>1207</v>
      </c>
      <c r="C49" s="32">
        <v>-4.5499999999999999E-2</v>
      </c>
      <c r="D49">
        <v>59800</v>
      </c>
      <c r="E49" s="32">
        <v>-4.7800000000000002E-2</v>
      </c>
      <c r="F49">
        <v>58</v>
      </c>
      <c r="G49" s="32">
        <v>-4.9200000000000001E-2</v>
      </c>
      <c r="H49">
        <v>70.19</v>
      </c>
      <c r="I49" s="32">
        <v>4.1000000000000003E-3</v>
      </c>
      <c r="J49">
        <v>16.47</v>
      </c>
      <c r="K49" s="32">
        <v>7.2999999999999995E-2</v>
      </c>
      <c r="L49">
        <v>1434.4</v>
      </c>
      <c r="M49" s="32">
        <v>-2.7099999999999999E-2</v>
      </c>
      <c r="N49">
        <v>24426.85</v>
      </c>
      <c r="O49" s="32">
        <v>-1.78E-2</v>
      </c>
      <c r="P49">
        <v>21455.55</v>
      </c>
      <c r="Q49" s="32">
        <v>-1.9E-3</v>
      </c>
      <c r="R49">
        <v>7830.49</v>
      </c>
      <c r="S49" s="32">
        <v>-3.5999999999999999E-3</v>
      </c>
      <c r="T49">
        <v>896.62</v>
      </c>
      <c r="U49" s="32">
        <v>-1.7899999999999999E-2</v>
      </c>
      <c r="V49">
        <v>796.91</v>
      </c>
      <c r="W49" s="32">
        <v>1.84E-2</v>
      </c>
      <c r="X49" s="158">
        <v>22462.95</v>
      </c>
      <c r="Y49" s="32">
        <v>-2.3E-2</v>
      </c>
      <c r="Z49" s="32"/>
      <c r="AA49" s="32"/>
      <c r="AB49" s="32"/>
      <c r="AC49" s="32"/>
      <c r="AD49" s="32"/>
      <c r="AE49" s="32"/>
      <c r="AF49" s="32"/>
      <c r="AH49" s="159"/>
      <c r="AI49" s="149"/>
      <c r="AJ49" s="150"/>
      <c r="AK49" s="150"/>
      <c r="AL49" s="150"/>
      <c r="AM49" s="151"/>
      <c r="AN49" s="152"/>
    </row>
    <row r="50" spans="1:40" ht="16.5" x14ac:dyDescent="0.35">
      <c r="A50" s="155">
        <v>45886</v>
      </c>
      <c r="B50">
        <v>1264.5999999999999</v>
      </c>
      <c r="C50" s="32">
        <v>9.8400000000000001E-2</v>
      </c>
      <c r="D50">
        <v>62800</v>
      </c>
      <c r="E50" s="32">
        <v>-4.7E-2</v>
      </c>
      <c r="F50">
        <v>61</v>
      </c>
      <c r="G50" s="32">
        <v>-1.61E-2</v>
      </c>
      <c r="H50">
        <v>69.900000000000006</v>
      </c>
      <c r="I50" s="32">
        <v>9.7000000000000003E-3</v>
      </c>
      <c r="J50">
        <v>15.35</v>
      </c>
      <c r="K50" s="32">
        <v>-1.4800000000000001E-2</v>
      </c>
      <c r="L50">
        <v>1474.4</v>
      </c>
      <c r="M50" s="32">
        <v>5.5899999999999998E-2</v>
      </c>
      <c r="N50">
        <v>24870.1</v>
      </c>
      <c r="O50" s="32">
        <v>9.7000000000000003E-3</v>
      </c>
      <c r="P50">
        <v>21496.54</v>
      </c>
      <c r="Q50" s="32">
        <v>-5.7999999999999996E-3</v>
      </c>
      <c r="R50">
        <v>7858.85</v>
      </c>
      <c r="S50" s="32">
        <v>-5.0000000000000001E-3</v>
      </c>
      <c r="T50">
        <v>912.92</v>
      </c>
      <c r="U50" s="32">
        <v>1.9099999999999999E-2</v>
      </c>
      <c r="V50">
        <v>782.51</v>
      </c>
      <c r="W50" s="32">
        <v>-4.02E-2</v>
      </c>
      <c r="X50" s="158">
        <v>22991.3</v>
      </c>
      <c r="Y50" s="32">
        <v>1.37E-2</v>
      </c>
      <c r="Z50" s="32"/>
      <c r="AA50" s="32"/>
      <c r="AB50" s="32"/>
      <c r="AC50" s="32"/>
      <c r="AD50" s="32"/>
      <c r="AE50" s="32"/>
      <c r="AF50" s="32"/>
      <c r="AH50" s="159"/>
      <c r="AI50" s="153"/>
      <c r="AJ50" s="150"/>
      <c r="AK50" s="150"/>
      <c r="AL50" s="150"/>
      <c r="AM50" s="151"/>
      <c r="AN50" s="154"/>
    </row>
    <row r="51" spans="1:40" ht="16.5" x14ac:dyDescent="0.35">
      <c r="A51" s="155">
        <v>45879</v>
      </c>
      <c r="B51">
        <v>1151.3</v>
      </c>
      <c r="C51" s="32">
        <v>8.3699999999999997E-2</v>
      </c>
      <c r="D51">
        <v>65900</v>
      </c>
      <c r="E51" s="32">
        <v>3.2899999999999999E-2</v>
      </c>
      <c r="F51">
        <v>62</v>
      </c>
      <c r="G51" s="32">
        <v>0</v>
      </c>
      <c r="H51">
        <v>69.23</v>
      </c>
      <c r="I51" s="32">
        <v>2.3400000000000001E-2</v>
      </c>
      <c r="J51">
        <v>15.58</v>
      </c>
      <c r="K51" s="32">
        <v>7.8899999999999998E-2</v>
      </c>
      <c r="L51">
        <v>1396.4</v>
      </c>
      <c r="M51" s="32">
        <v>-6.5799999999999997E-2</v>
      </c>
      <c r="N51">
        <v>24631.3</v>
      </c>
      <c r="O51" s="32">
        <v>1.0999999999999999E-2</v>
      </c>
      <c r="P51">
        <v>21622.98</v>
      </c>
      <c r="Q51" s="32">
        <v>8.0999999999999996E-3</v>
      </c>
      <c r="R51">
        <v>7898.38</v>
      </c>
      <c r="S51" s="32">
        <v>4.8399999999999999E-2</v>
      </c>
      <c r="T51">
        <v>895.77</v>
      </c>
      <c r="U51" s="32">
        <v>4.8999999999999998E-3</v>
      </c>
      <c r="V51">
        <v>815.26</v>
      </c>
      <c r="W51" s="32">
        <v>7.4000000000000003E-3</v>
      </c>
      <c r="X51" s="158">
        <v>22680.25</v>
      </c>
      <c r="Y51" s="32">
        <v>1.06E-2</v>
      </c>
      <c r="Z51" s="32"/>
      <c r="AA51" s="32"/>
      <c r="AB51" s="32"/>
      <c r="AC51" s="32"/>
      <c r="AD51" s="32"/>
      <c r="AE51" s="32"/>
      <c r="AF51" s="32"/>
      <c r="AH51" s="159"/>
      <c r="AI51" s="153"/>
      <c r="AJ51" s="150"/>
      <c r="AK51" s="150"/>
      <c r="AL51" s="150"/>
      <c r="AM51" s="151"/>
      <c r="AN51" s="154"/>
    </row>
    <row r="52" spans="1:40" ht="16.5" x14ac:dyDescent="0.35">
      <c r="A52" s="155">
        <v>45872</v>
      </c>
      <c r="B52">
        <v>1062.4000000000001</v>
      </c>
      <c r="C52" s="32">
        <v>-1.2999999999999999E-2</v>
      </c>
      <c r="D52">
        <v>63800</v>
      </c>
      <c r="E52" s="32">
        <v>4.9299999999999997E-2</v>
      </c>
      <c r="F52">
        <v>62</v>
      </c>
      <c r="G52" s="32">
        <v>-4.6199999999999998E-2</v>
      </c>
      <c r="H52">
        <v>67.650000000000006</v>
      </c>
      <c r="I52" s="32">
        <v>8.0000000000000002E-3</v>
      </c>
      <c r="J52">
        <v>14.44</v>
      </c>
      <c r="K52" s="32">
        <v>0.14879999999999999</v>
      </c>
      <c r="L52">
        <v>1494.8</v>
      </c>
      <c r="M52" s="32">
        <v>3.2000000000000001E-2</v>
      </c>
      <c r="N52">
        <v>24363.3</v>
      </c>
      <c r="O52" s="32">
        <v>-8.2000000000000007E-3</v>
      </c>
      <c r="P52">
        <v>21450.02</v>
      </c>
      <c r="Q52" s="32">
        <v>3.8699999999999998E-2</v>
      </c>
      <c r="R52">
        <v>7533.38</v>
      </c>
      <c r="S52" s="32">
        <v>-5.9999999999999995E-4</v>
      </c>
      <c r="T52">
        <v>891.36</v>
      </c>
      <c r="U52" s="32">
        <v>7.3000000000000001E-3</v>
      </c>
      <c r="V52">
        <v>809.27</v>
      </c>
      <c r="W52" s="32">
        <v>4.7199999999999999E-2</v>
      </c>
      <c r="X52" s="158">
        <v>22443.15</v>
      </c>
      <c r="Y52" s="32">
        <v>-1.0200000000000001E-2</v>
      </c>
      <c r="Z52" s="32"/>
      <c r="AA52" s="32"/>
      <c r="AB52" s="32"/>
      <c r="AC52" s="32"/>
      <c r="AD52" s="32"/>
      <c r="AE52" s="32"/>
      <c r="AF52" s="32"/>
      <c r="AH52" s="159"/>
      <c r="AI52" s="149"/>
      <c r="AJ52" s="150"/>
      <c r="AK52" s="150"/>
      <c r="AL52" s="150"/>
      <c r="AM52" s="151"/>
      <c r="AN52" s="152"/>
    </row>
    <row r="53" spans="1:40" ht="16.5" x14ac:dyDescent="0.35">
      <c r="A53" s="155">
        <v>45865</v>
      </c>
      <c r="B53">
        <v>1076.4000000000001</v>
      </c>
      <c r="C53" s="32">
        <v>8.0999999999999996E-3</v>
      </c>
      <c r="D53">
        <v>60800</v>
      </c>
      <c r="E53" s="32">
        <v>-6.6100000000000006E-2</v>
      </c>
      <c r="F53">
        <v>65</v>
      </c>
      <c r="G53" s="32">
        <v>0.1207</v>
      </c>
      <c r="H53">
        <v>67.11</v>
      </c>
      <c r="I53" s="32">
        <v>-0.1394</v>
      </c>
      <c r="J53">
        <v>12.57</v>
      </c>
      <c r="K53" s="32">
        <v>-6.0499999999999998E-2</v>
      </c>
      <c r="L53">
        <v>1448.4</v>
      </c>
      <c r="M53" s="32">
        <v>-7.1099999999999997E-2</v>
      </c>
      <c r="N53">
        <v>24565.35</v>
      </c>
      <c r="O53" s="32">
        <v>-1.09E-2</v>
      </c>
      <c r="P53">
        <v>20650.13</v>
      </c>
      <c r="Q53" s="32">
        <v>-2.1700000000000001E-2</v>
      </c>
      <c r="R53">
        <v>7537.77</v>
      </c>
      <c r="S53" s="32">
        <v>-8.0000000000000004E-4</v>
      </c>
      <c r="T53">
        <v>884.87</v>
      </c>
      <c r="U53" s="32">
        <v>-2.2599999999999999E-2</v>
      </c>
      <c r="V53">
        <v>772.79</v>
      </c>
      <c r="W53" s="32">
        <v>-4.2299999999999997E-2</v>
      </c>
      <c r="X53" s="158">
        <v>22673.65</v>
      </c>
      <c r="Y53" s="32">
        <v>-1.4800000000000001E-2</v>
      </c>
      <c r="Z53" s="32"/>
      <c r="AA53" s="32"/>
      <c r="AB53" s="32"/>
      <c r="AC53" s="32"/>
      <c r="AD53" s="32"/>
      <c r="AE53" s="32"/>
      <c r="AF53" s="32"/>
      <c r="AH53" s="159"/>
      <c r="AI53" s="149"/>
      <c r="AJ53" s="150"/>
      <c r="AK53" s="150"/>
      <c r="AL53" s="150"/>
      <c r="AM53" s="151"/>
      <c r="AN53" s="152"/>
    </row>
    <row r="54" spans="1:40" ht="16.5" x14ac:dyDescent="0.35">
      <c r="A54" s="155">
        <v>45858</v>
      </c>
      <c r="B54">
        <v>1067.75</v>
      </c>
      <c r="C54" s="32">
        <v>6.6000000000000003E-2</v>
      </c>
      <c r="D54">
        <v>65100</v>
      </c>
      <c r="E54" s="32">
        <v>0.1053</v>
      </c>
      <c r="F54">
        <v>58</v>
      </c>
      <c r="G54" s="32">
        <v>0</v>
      </c>
      <c r="H54">
        <v>77.98</v>
      </c>
      <c r="I54" s="32">
        <v>5.1400000000000001E-2</v>
      </c>
      <c r="J54">
        <v>13.38</v>
      </c>
      <c r="K54" s="32">
        <v>-2.12E-2</v>
      </c>
      <c r="L54">
        <v>1559.2</v>
      </c>
      <c r="M54" s="32">
        <v>1.9E-3</v>
      </c>
      <c r="N54">
        <v>24837</v>
      </c>
      <c r="O54" s="32">
        <v>-5.3E-3</v>
      </c>
      <c r="P54">
        <v>21108.32</v>
      </c>
      <c r="Q54" s="32">
        <v>1.0200000000000001E-2</v>
      </c>
      <c r="R54">
        <v>7543.5</v>
      </c>
      <c r="S54" s="32">
        <v>3.1699999999999999E-2</v>
      </c>
      <c r="T54">
        <v>905.37</v>
      </c>
      <c r="U54" s="32">
        <v>-7.1000000000000004E-3</v>
      </c>
      <c r="V54">
        <v>806.95</v>
      </c>
      <c r="W54" s="32">
        <v>-1.67E-2</v>
      </c>
      <c r="X54" s="158">
        <v>23014.799999999999</v>
      </c>
      <c r="Y54" s="32">
        <v>-1.12E-2</v>
      </c>
      <c r="Z54" s="32"/>
      <c r="AA54" s="32"/>
      <c r="AB54" s="32"/>
      <c r="AC54" s="32"/>
      <c r="AD54" s="32"/>
      <c r="AE54" s="32"/>
      <c r="AF54" s="32"/>
      <c r="AH54" s="159"/>
      <c r="AI54" s="149"/>
      <c r="AJ54" s="150"/>
      <c r="AK54" s="150"/>
      <c r="AL54" s="150"/>
      <c r="AM54" s="151"/>
      <c r="AN54" s="152"/>
    </row>
    <row r="55" spans="1:40" ht="16.5" x14ac:dyDescent="0.35">
      <c r="A55" s="155">
        <v>45851</v>
      </c>
      <c r="B55">
        <v>1001.6</v>
      </c>
      <c r="C55" s="32">
        <v>5.2999999999999999E-2</v>
      </c>
      <c r="D55">
        <v>58900</v>
      </c>
      <c r="E55" s="32">
        <v>-0.2601</v>
      </c>
      <c r="F55">
        <v>58</v>
      </c>
      <c r="G55" s="32">
        <v>-1.6899999999999998E-2</v>
      </c>
      <c r="H55">
        <v>74.17</v>
      </c>
      <c r="I55" s="32">
        <v>3.9399999999999998E-2</v>
      </c>
      <c r="J55">
        <v>13.67</v>
      </c>
      <c r="K55" s="32">
        <v>-0.1164</v>
      </c>
      <c r="L55">
        <v>1556.2</v>
      </c>
      <c r="M55" s="32">
        <v>2.4500000000000001E-2</v>
      </c>
      <c r="N55">
        <v>24968.400000000001</v>
      </c>
      <c r="O55" s="32">
        <v>-7.1999999999999998E-3</v>
      </c>
      <c r="P55">
        <v>20895.650000000001</v>
      </c>
      <c r="Q55" s="32">
        <v>1.5100000000000001E-2</v>
      </c>
      <c r="R55">
        <v>7311.92</v>
      </c>
      <c r="S55" s="32">
        <v>3.7499999999999999E-2</v>
      </c>
      <c r="T55">
        <v>911.85</v>
      </c>
      <c r="U55" s="32">
        <v>-1.0500000000000001E-2</v>
      </c>
      <c r="V55">
        <v>820.67</v>
      </c>
      <c r="W55" s="32">
        <v>2.52E-2</v>
      </c>
      <c r="X55" s="158">
        <v>23275.15</v>
      </c>
      <c r="Y55" s="32">
        <v>-2.9999999999999997E-4</v>
      </c>
      <c r="Z55" s="32"/>
      <c r="AA55" s="32"/>
      <c r="AB55" s="32"/>
      <c r="AC55" s="32"/>
      <c r="AD55" s="32"/>
      <c r="AE55" s="32"/>
      <c r="AF55" s="32"/>
      <c r="AH55" s="159"/>
      <c r="AI55" s="149"/>
      <c r="AJ55" s="150"/>
      <c r="AK55" s="150"/>
      <c r="AL55" s="150"/>
      <c r="AM55" s="151"/>
      <c r="AN55" s="152"/>
    </row>
    <row r="56" spans="1:40" ht="16.5" x14ac:dyDescent="0.35">
      <c r="A56" s="155">
        <v>45844</v>
      </c>
      <c r="B56">
        <v>951.15</v>
      </c>
      <c r="C56" s="32">
        <v>2.18E-2</v>
      </c>
      <c r="D56">
        <v>79600</v>
      </c>
      <c r="E56" s="32">
        <v>6.3E-3</v>
      </c>
      <c r="F56">
        <v>59</v>
      </c>
      <c r="G56" s="32">
        <v>0</v>
      </c>
      <c r="H56">
        <v>71.36</v>
      </c>
      <c r="I56" s="32">
        <v>-6.83E-2</v>
      </c>
      <c r="J56">
        <v>15.47</v>
      </c>
      <c r="K56" s="32">
        <v>-4.3900000000000002E-2</v>
      </c>
      <c r="L56">
        <v>1519</v>
      </c>
      <c r="M56" s="32">
        <v>6.9999999999999999E-4</v>
      </c>
      <c r="N56">
        <v>25149.85</v>
      </c>
      <c r="O56" s="32">
        <v>-1.2200000000000001E-2</v>
      </c>
      <c r="P56">
        <v>20585.53</v>
      </c>
      <c r="Q56" s="32">
        <v>-8.0000000000000004E-4</v>
      </c>
      <c r="R56">
        <v>7047.44</v>
      </c>
      <c r="S56" s="32">
        <v>2.6499999999999999E-2</v>
      </c>
      <c r="T56">
        <v>921.49</v>
      </c>
      <c r="U56" s="32">
        <v>1.44E-2</v>
      </c>
      <c r="V56">
        <v>800.47</v>
      </c>
      <c r="W56" s="32">
        <v>3.1800000000000002E-2</v>
      </c>
      <c r="X56" s="158">
        <v>23282.7</v>
      </c>
      <c r="Y56" s="32">
        <v>-1.1900000000000001E-2</v>
      </c>
      <c r="Z56" s="32"/>
      <c r="AA56" s="32"/>
      <c r="AB56" s="32"/>
      <c r="AC56" s="32"/>
      <c r="AD56" s="32"/>
      <c r="AE56" s="32"/>
      <c r="AF56" s="32"/>
      <c r="AH56" s="159"/>
      <c r="AI56" s="149"/>
      <c r="AJ56" s="150"/>
      <c r="AK56" s="150"/>
      <c r="AL56" s="150"/>
      <c r="AM56" s="151"/>
      <c r="AN56" s="152"/>
    </row>
    <row r="57" spans="1:40" ht="16.5" x14ac:dyDescent="0.35">
      <c r="A57" s="155">
        <v>45837</v>
      </c>
      <c r="B57">
        <v>930.85</v>
      </c>
      <c r="C57" s="32">
        <v>1.2500000000000001E-2</v>
      </c>
      <c r="D57">
        <v>79100</v>
      </c>
      <c r="E57" s="32">
        <v>-6.0600000000000001E-2</v>
      </c>
      <c r="F57">
        <v>59</v>
      </c>
      <c r="G57" s="32">
        <v>-1.67E-2</v>
      </c>
      <c r="H57">
        <v>76.59</v>
      </c>
      <c r="I57" s="32">
        <v>4.0099999999999997E-2</v>
      </c>
      <c r="J57">
        <v>16.18</v>
      </c>
      <c r="K57" s="32">
        <v>5.3400000000000003E-2</v>
      </c>
      <c r="L57">
        <v>1518</v>
      </c>
      <c r="M57" s="32">
        <v>-3.7199999999999997E-2</v>
      </c>
      <c r="N57">
        <v>25461</v>
      </c>
      <c r="O57" s="32">
        <v>-6.8999999999999999E-3</v>
      </c>
      <c r="P57">
        <v>20601.099999999999</v>
      </c>
      <c r="Q57" s="32">
        <v>1.6199999999999999E-2</v>
      </c>
      <c r="R57">
        <v>6865.19</v>
      </c>
      <c r="S57" s="32">
        <v>-4.7000000000000002E-3</v>
      </c>
      <c r="T57">
        <v>908.44</v>
      </c>
      <c r="U57" s="32">
        <v>-1.2699999999999999E-2</v>
      </c>
      <c r="V57">
        <v>775.8</v>
      </c>
      <c r="W57" s="32">
        <v>-7.4000000000000003E-3</v>
      </c>
      <c r="X57" s="158">
        <v>23562.45</v>
      </c>
      <c r="Y57" s="32">
        <v>-2.3999999999999998E-3</v>
      </c>
      <c r="Z57" s="32"/>
      <c r="AA57" s="32"/>
      <c r="AB57" s="32"/>
      <c r="AC57" s="32"/>
      <c r="AD57" s="32"/>
      <c r="AE57" s="32"/>
      <c r="AF57" s="32"/>
      <c r="AH57" s="159"/>
      <c r="AI57" s="149"/>
      <c r="AJ57" s="150"/>
      <c r="AK57" s="150"/>
      <c r="AL57" s="150"/>
      <c r="AM57" s="151"/>
      <c r="AN57" s="152"/>
    </row>
    <row r="58" spans="1:40" ht="16.5" x14ac:dyDescent="0.35">
      <c r="A58" s="155">
        <v>45830</v>
      </c>
      <c r="B58">
        <v>919.35</v>
      </c>
      <c r="C58" s="32">
        <v>5.5300000000000002E-2</v>
      </c>
      <c r="D58">
        <v>84200</v>
      </c>
      <c r="E58" s="32">
        <v>5.7799999999999997E-2</v>
      </c>
      <c r="F58">
        <v>60</v>
      </c>
      <c r="G58" s="32">
        <v>1.6899999999999998E-2</v>
      </c>
      <c r="H58">
        <v>73.64</v>
      </c>
      <c r="I58" s="32">
        <v>5.1200000000000002E-2</v>
      </c>
      <c r="J58">
        <v>15.36</v>
      </c>
      <c r="K58" s="32">
        <v>5.79E-2</v>
      </c>
      <c r="L58">
        <v>1576.6</v>
      </c>
      <c r="M58" s="32">
        <v>2.9399999999999999E-2</v>
      </c>
      <c r="N58">
        <v>25637.8</v>
      </c>
      <c r="O58" s="32">
        <v>2.0899999999999998E-2</v>
      </c>
      <c r="P58">
        <v>20273.46</v>
      </c>
      <c r="Q58" s="32">
        <v>4.2500000000000003E-2</v>
      </c>
      <c r="R58">
        <v>6897.4</v>
      </c>
      <c r="S58" s="32">
        <v>-1.4E-3</v>
      </c>
      <c r="T58">
        <v>920.14</v>
      </c>
      <c r="U58" s="32">
        <v>1.2800000000000001E-2</v>
      </c>
      <c r="V58">
        <v>781.56</v>
      </c>
      <c r="W58" s="32">
        <v>-1.26E-2</v>
      </c>
      <c r="X58" s="158">
        <v>23620.15</v>
      </c>
      <c r="Y58" s="32">
        <v>2.5100000000000001E-2</v>
      </c>
      <c r="Z58" s="32"/>
      <c r="AA58" s="32"/>
      <c r="AB58" s="32"/>
      <c r="AC58" s="32"/>
      <c r="AD58" s="32"/>
      <c r="AE58" s="32"/>
      <c r="AF58" s="32"/>
      <c r="AH58" s="159"/>
      <c r="AI58" s="153"/>
      <c r="AJ58" s="150"/>
      <c r="AK58" s="150"/>
      <c r="AL58" s="150"/>
      <c r="AM58" s="151"/>
      <c r="AN58" s="154"/>
    </row>
    <row r="59" spans="1:40" ht="16.5" x14ac:dyDescent="0.35">
      <c r="A59" s="155">
        <v>45823</v>
      </c>
      <c r="B59">
        <v>871.2</v>
      </c>
      <c r="C59" s="32">
        <v>-1.2500000000000001E-2</v>
      </c>
      <c r="D59">
        <v>79600</v>
      </c>
      <c r="E59" s="32">
        <v>0.31790000000000002</v>
      </c>
      <c r="F59">
        <v>59</v>
      </c>
      <c r="G59" s="32">
        <v>-7.8100000000000003E-2</v>
      </c>
      <c r="H59">
        <v>70.05</v>
      </c>
      <c r="I59" s="32">
        <v>-1.0999999999999999E-2</v>
      </c>
      <c r="J59">
        <v>14.52</v>
      </c>
      <c r="K59" s="32">
        <v>5.5199999999999999E-2</v>
      </c>
      <c r="L59">
        <v>1531.6</v>
      </c>
      <c r="M59" s="32">
        <v>-7.5200000000000003E-2</v>
      </c>
      <c r="N59">
        <v>25112.400000000001</v>
      </c>
      <c r="O59" s="32">
        <v>1.5900000000000001E-2</v>
      </c>
      <c r="P59">
        <v>19447.41</v>
      </c>
      <c r="Q59" s="32">
        <v>2.0999999999999999E-3</v>
      </c>
      <c r="R59">
        <v>6907.14</v>
      </c>
      <c r="S59" s="32">
        <v>-3.61E-2</v>
      </c>
      <c r="T59">
        <v>908.52</v>
      </c>
      <c r="U59" s="32">
        <v>-1.5299999999999999E-2</v>
      </c>
      <c r="V59">
        <v>791.53</v>
      </c>
      <c r="W59" s="32">
        <v>2.9499999999999998E-2</v>
      </c>
      <c r="X59" s="158">
        <v>23041.1</v>
      </c>
      <c r="Y59" s="32">
        <v>5.8999999999999999E-3</v>
      </c>
      <c r="Z59" s="32"/>
      <c r="AA59" s="32"/>
      <c r="AB59" s="32"/>
      <c r="AC59" s="32"/>
      <c r="AD59" s="32"/>
      <c r="AE59" s="32"/>
      <c r="AF59" s="32"/>
      <c r="AH59" s="159"/>
      <c r="AI59" s="153"/>
      <c r="AJ59" s="150"/>
      <c r="AK59" s="150"/>
      <c r="AL59" s="150"/>
      <c r="AM59" s="151"/>
      <c r="AN59" s="154"/>
    </row>
    <row r="60" spans="1:40" ht="16.5" x14ac:dyDescent="0.35">
      <c r="A60" s="155">
        <v>45816</v>
      </c>
      <c r="B60">
        <v>882.25</v>
      </c>
      <c r="C60" s="32">
        <v>-8.2900000000000001E-2</v>
      </c>
      <c r="D60">
        <v>60400</v>
      </c>
      <c r="E60" s="32">
        <v>0.58530000000000004</v>
      </c>
      <c r="F60">
        <v>64</v>
      </c>
      <c r="G60" s="32">
        <v>4.9200000000000001E-2</v>
      </c>
      <c r="H60">
        <v>70.83</v>
      </c>
      <c r="I60" s="32">
        <v>-3.5400000000000001E-2</v>
      </c>
      <c r="J60">
        <v>13.76</v>
      </c>
      <c r="K60" s="32">
        <v>1.7000000000000001E-2</v>
      </c>
      <c r="L60">
        <v>1656.2</v>
      </c>
      <c r="M60" s="32">
        <v>-3.9800000000000002E-2</v>
      </c>
      <c r="N60">
        <v>24718.6</v>
      </c>
      <c r="O60" s="32">
        <v>-1.14E-2</v>
      </c>
      <c r="P60">
        <v>19406.830000000002</v>
      </c>
      <c r="Q60" s="32">
        <v>-6.3E-3</v>
      </c>
      <c r="R60">
        <v>7166.06</v>
      </c>
      <c r="S60" s="32">
        <v>7.4000000000000003E-3</v>
      </c>
      <c r="T60">
        <v>922.62</v>
      </c>
      <c r="U60" s="32">
        <v>-7.9000000000000008E-3</v>
      </c>
      <c r="V60">
        <v>768.86</v>
      </c>
      <c r="W60" s="32">
        <v>1.67E-2</v>
      </c>
      <c r="X60" s="158">
        <v>22906.2</v>
      </c>
      <c r="Y60" s="32">
        <v>-1.12E-2</v>
      </c>
      <c r="Z60" s="32"/>
      <c r="AA60" s="32"/>
      <c r="AB60" s="32"/>
      <c r="AC60" s="32"/>
      <c r="AD60" s="32"/>
      <c r="AE60" s="32"/>
      <c r="AF60" s="32"/>
      <c r="AH60" s="159"/>
      <c r="AI60" s="149"/>
      <c r="AJ60" s="150"/>
      <c r="AK60" s="150"/>
      <c r="AL60" s="150"/>
      <c r="AM60" s="151"/>
      <c r="AN60" s="152"/>
    </row>
    <row r="61" spans="1:40" ht="16.5" x14ac:dyDescent="0.35">
      <c r="A61" s="155">
        <v>45809</v>
      </c>
      <c r="B61">
        <v>961.95</v>
      </c>
      <c r="C61" s="32">
        <v>8.0299999999999996E-2</v>
      </c>
      <c r="D61">
        <v>38100</v>
      </c>
      <c r="E61" s="32">
        <v>6.6E-3</v>
      </c>
      <c r="F61">
        <v>61</v>
      </c>
      <c r="G61" s="32">
        <v>-4.6899999999999997E-2</v>
      </c>
      <c r="H61">
        <v>73.430000000000007</v>
      </c>
      <c r="I61" s="32">
        <v>4.48E-2</v>
      </c>
      <c r="J61">
        <v>13.53</v>
      </c>
      <c r="K61" s="32">
        <v>-8.8000000000000005E-3</v>
      </c>
      <c r="L61">
        <v>1724.8</v>
      </c>
      <c r="M61" s="32">
        <v>2.0799999999999999E-2</v>
      </c>
      <c r="N61">
        <v>25003.05</v>
      </c>
      <c r="O61" s="32">
        <v>1.0200000000000001E-2</v>
      </c>
      <c r="P61">
        <v>19529.95</v>
      </c>
      <c r="Q61" s="32">
        <v>2.18E-2</v>
      </c>
      <c r="R61">
        <v>7113.42</v>
      </c>
      <c r="S61" s="32">
        <v>-8.6999999999999994E-3</v>
      </c>
      <c r="T61">
        <v>929.93</v>
      </c>
      <c r="U61" s="32">
        <v>7.6E-3</v>
      </c>
      <c r="V61">
        <v>756.23</v>
      </c>
      <c r="W61" s="32">
        <v>2.98E-2</v>
      </c>
      <c r="X61" s="158">
        <v>23165.1</v>
      </c>
      <c r="Y61" s="32">
        <v>1.5900000000000001E-2</v>
      </c>
      <c r="Z61" s="32"/>
      <c r="AA61" s="32"/>
      <c r="AB61" s="32"/>
      <c r="AC61" s="32"/>
      <c r="AD61" s="32"/>
      <c r="AE61" s="32"/>
      <c r="AF61" s="32"/>
      <c r="AH61" s="159"/>
      <c r="AI61" s="153"/>
      <c r="AJ61" s="150"/>
      <c r="AK61" s="150"/>
      <c r="AL61" s="150"/>
      <c r="AM61" s="151"/>
      <c r="AN61" s="154"/>
    </row>
    <row r="62" spans="1:40" ht="16.5" x14ac:dyDescent="0.35">
      <c r="A62" s="155">
        <v>45802</v>
      </c>
      <c r="B62">
        <v>890.45</v>
      </c>
      <c r="C62" s="32">
        <v>5.5100000000000003E-2</v>
      </c>
      <c r="D62">
        <v>37850</v>
      </c>
      <c r="E62" s="32">
        <v>0.22889999999999999</v>
      </c>
      <c r="F62">
        <v>64</v>
      </c>
      <c r="G62" s="32">
        <v>-0.1111</v>
      </c>
      <c r="H62">
        <v>70.28</v>
      </c>
      <c r="I62" s="32">
        <v>6.1999999999999998E-3</v>
      </c>
      <c r="J62">
        <v>13.65</v>
      </c>
      <c r="K62" s="32">
        <v>2.7900000000000001E-2</v>
      </c>
      <c r="L62">
        <v>1689.6</v>
      </c>
      <c r="M62" s="32">
        <v>6.5199999999999994E-2</v>
      </c>
      <c r="N62">
        <v>24750.7</v>
      </c>
      <c r="O62" s="32">
        <v>-4.1000000000000003E-3</v>
      </c>
      <c r="P62">
        <v>19113.77</v>
      </c>
      <c r="Q62" s="32">
        <v>2.01E-2</v>
      </c>
      <c r="R62">
        <v>7175.82</v>
      </c>
      <c r="S62" s="32">
        <v>-5.3E-3</v>
      </c>
      <c r="T62">
        <v>922.93</v>
      </c>
      <c r="U62" s="32">
        <v>6.0000000000000001E-3</v>
      </c>
      <c r="V62">
        <v>734.35</v>
      </c>
      <c r="W62" s="32">
        <v>2.5700000000000001E-2</v>
      </c>
      <c r="X62" s="158">
        <v>22801.95</v>
      </c>
      <c r="Y62" s="32">
        <v>8.9999999999999998E-4</v>
      </c>
      <c r="Z62" s="32"/>
      <c r="AA62" s="32"/>
      <c r="AB62" s="32"/>
      <c r="AC62" s="32"/>
      <c r="AD62" s="32"/>
      <c r="AE62" s="32"/>
      <c r="AF62" s="32"/>
      <c r="AH62" s="159"/>
      <c r="AI62" s="153"/>
      <c r="AJ62" s="150"/>
      <c r="AK62" s="150"/>
      <c r="AL62" s="150"/>
      <c r="AM62" s="151"/>
      <c r="AN62" s="154"/>
    </row>
    <row r="63" spans="1:40" ht="16.5" x14ac:dyDescent="0.35">
      <c r="A63" s="155">
        <v>45795</v>
      </c>
      <c r="B63">
        <v>843.95</v>
      </c>
      <c r="C63" s="32">
        <v>-9.9000000000000008E-3</v>
      </c>
      <c r="D63">
        <v>30800</v>
      </c>
      <c r="E63" s="32">
        <v>4.2299999999999997E-2</v>
      </c>
      <c r="F63">
        <v>72</v>
      </c>
      <c r="G63" s="32">
        <v>-1.37E-2</v>
      </c>
      <c r="H63">
        <v>69.849999999999994</v>
      </c>
      <c r="I63" s="32">
        <v>-3.2300000000000002E-2</v>
      </c>
      <c r="J63">
        <v>13.28</v>
      </c>
      <c r="K63" s="32">
        <v>-6.0000000000000001E-3</v>
      </c>
      <c r="L63">
        <v>1586.2</v>
      </c>
      <c r="M63" s="32">
        <v>-3.1E-2</v>
      </c>
      <c r="N63">
        <v>24853.15</v>
      </c>
      <c r="O63" s="32">
        <v>-6.7000000000000002E-3</v>
      </c>
      <c r="P63">
        <v>18737.21</v>
      </c>
      <c r="Q63" s="32">
        <v>-2.47E-2</v>
      </c>
      <c r="R63">
        <v>7214.16</v>
      </c>
      <c r="S63" s="32">
        <v>1.5100000000000001E-2</v>
      </c>
      <c r="T63">
        <v>917.39</v>
      </c>
      <c r="U63" s="32">
        <v>-1.4500000000000001E-2</v>
      </c>
      <c r="V63">
        <v>715.98</v>
      </c>
      <c r="W63" s="32">
        <v>-1.2500000000000001E-2</v>
      </c>
      <c r="X63" s="158">
        <v>22781.05</v>
      </c>
      <c r="Y63" s="32">
        <v>-3.8999999999999998E-3</v>
      </c>
      <c r="Z63" s="32"/>
      <c r="AA63" s="32"/>
      <c r="AB63" s="32"/>
      <c r="AC63" s="32"/>
      <c r="AD63" s="32"/>
      <c r="AE63" s="32"/>
      <c r="AF63" s="32"/>
      <c r="AH63" s="159"/>
      <c r="AI63" s="149"/>
      <c r="AJ63" s="150"/>
      <c r="AK63" s="150"/>
      <c r="AL63" s="150"/>
      <c r="AM63" s="151"/>
      <c r="AN63" s="152"/>
    </row>
    <row r="64" spans="1:40" ht="16.5" x14ac:dyDescent="0.35">
      <c r="A64" s="155">
        <v>45788</v>
      </c>
      <c r="B64">
        <v>852.35</v>
      </c>
      <c r="C64" s="32">
        <v>2.3699999999999999E-2</v>
      </c>
      <c r="D64">
        <v>29550</v>
      </c>
      <c r="E64" s="32">
        <v>5.1000000000000004E-3</v>
      </c>
      <c r="F64">
        <v>73</v>
      </c>
      <c r="G64" s="32">
        <v>-9.8799999999999999E-2</v>
      </c>
      <c r="H64">
        <v>72.180000000000007</v>
      </c>
      <c r="I64" s="32">
        <v>2.7300000000000001E-2</v>
      </c>
      <c r="J64">
        <v>13.36</v>
      </c>
      <c r="K64" s="32">
        <v>-2.12E-2</v>
      </c>
      <c r="L64">
        <v>1637</v>
      </c>
      <c r="M64" s="32">
        <v>3.3700000000000001E-2</v>
      </c>
      <c r="N64">
        <v>25019.8</v>
      </c>
      <c r="O64" s="32">
        <v>4.2099999999999999E-2</v>
      </c>
      <c r="P64">
        <v>19211.099999999999</v>
      </c>
      <c r="Q64" s="32">
        <v>7.1499999999999994E-2</v>
      </c>
      <c r="R64">
        <v>7106.53</v>
      </c>
      <c r="S64" s="32">
        <v>4.0099999999999997E-2</v>
      </c>
      <c r="T64">
        <v>930.9</v>
      </c>
      <c r="U64" s="32">
        <v>2.7799999999999998E-2</v>
      </c>
      <c r="V64">
        <v>725.07</v>
      </c>
      <c r="W64" s="32">
        <v>3.5000000000000001E-3</v>
      </c>
      <c r="X64" s="158">
        <v>22870.9</v>
      </c>
      <c r="Y64" s="32">
        <v>5.5100000000000003E-2</v>
      </c>
      <c r="Z64" s="32"/>
      <c r="AA64" s="32"/>
      <c r="AB64" s="32"/>
      <c r="AC64" s="32"/>
      <c r="AD64" s="32"/>
      <c r="AE64" s="32"/>
      <c r="AF64" s="32"/>
      <c r="AH64" s="159"/>
      <c r="AI64" s="153"/>
      <c r="AJ64" s="150"/>
      <c r="AK64" s="150"/>
      <c r="AL64" s="150"/>
      <c r="AM64" s="151"/>
      <c r="AN64" s="154"/>
    </row>
    <row r="65" spans="1:40" ht="16.5" x14ac:dyDescent="0.35">
      <c r="A65" s="155">
        <v>45781</v>
      </c>
      <c r="B65">
        <v>832.65</v>
      </c>
      <c r="C65" s="32">
        <v>-5.0000000000000001E-4</v>
      </c>
      <c r="D65">
        <v>29400</v>
      </c>
      <c r="E65" s="32">
        <v>-6.8099999999999994E-2</v>
      </c>
      <c r="F65">
        <v>81</v>
      </c>
      <c r="G65" s="32">
        <v>-1.2200000000000001E-2</v>
      </c>
      <c r="H65">
        <v>70.260000000000005</v>
      </c>
      <c r="I65" s="32">
        <v>4.4900000000000002E-2</v>
      </c>
      <c r="J65">
        <v>13.65</v>
      </c>
      <c r="K65" s="32">
        <v>-8.6999999999999994E-3</v>
      </c>
      <c r="L65">
        <v>1583.6</v>
      </c>
      <c r="M65" s="32">
        <v>7.8700000000000006E-2</v>
      </c>
      <c r="N65">
        <v>24008</v>
      </c>
      <c r="O65" s="32">
        <v>-1.3899999999999999E-2</v>
      </c>
      <c r="P65">
        <v>17928.919999999998</v>
      </c>
      <c r="Q65" s="32">
        <v>-2.7000000000000001E-3</v>
      </c>
      <c r="R65">
        <v>6832.8</v>
      </c>
      <c r="S65" s="32">
        <v>2.5000000000000001E-3</v>
      </c>
      <c r="T65">
        <v>905.74</v>
      </c>
      <c r="U65" s="32">
        <v>8.9999999999999993E-3</v>
      </c>
      <c r="V65">
        <v>722.52</v>
      </c>
      <c r="W65" s="32">
        <v>8.9999999999999998E-4</v>
      </c>
      <c r="X65" s="158">
        <v>21675.55</v>
      </c>
      <c r="Y65" s="32">
        <v>-1.4999999999999999E-2</v>
      </c>
      <c r="Z65" s="32"/>
      <c r="AA65" s="32"/>
      <c r="AB65" s="32"/>
      <c r="AC65" s="32"/>
      <c r="AD65" s="32"/>
      <c r="AE65" s="32"/>
      <c r="AF65" s="32"/>
      <c r="AH65" s="159"/>
      <c r="AI65" s="149"/>
      <c r="AJ65" s="150"/>
      <c r="AK65" s="150"/>
      <c r="AL65" s="150"/>
      <c r="AM65" s="151"/>
      <c r="AN65" s="152"/>
    </row>
    <row r="66" spans="1:40" ht="16.5" x14ac:dyDescent="0.35">
      <c r="A66" s="155">
        <v>45774</v>
      </c>
      <c r="B66">
        <v>833.05</v>
      </c>
      <c r="C66" s="32">
        <v>-4.8599999999999997E-2</v>
      </c>
      <c r="D66">
        <v>31550</v>
      </c>
      <c r="E66" s="32">
        <v>5.8700000000000002E-2</v>
      </c>
      <c r="F66">
        <v>82</v>
      </c>
      <c r="G66" s="32">
        <v>-2.3800000000000002E-2</v>
      </c>
      <c r="H66">
        <v>67.239999999999995</v>
      </c>
      <c r="I66" s="32">
        <v>2.9100000000000001E-2</v>
      </c>
      <c r="J66">
        <v>13.77</v>
      </c>
      <c r="K66" s="32">
        <v>1.5E-3</v>
      </c>
      <c r="L66">
        <v>1468</v>
      </c>
      <c r="M66" s="32">
        <v>1.1000000000000001E-3</v>
      </c>
      <c r="N66">
        <v>24346.7</v>
      </c>
      <c r="O66" s="32">
        <v>1.2800000000000001E-2</v>
      </c>
      <c r="P66">
        <v>17977.73</v>
      </c>
      <c r="Q66" s="32">
        <v>3.4200000000000001E-2</v>
      </c>
      <c r="R66">
        <v>6815.73</v>
      </c>
      <c r="S66" s="32">
        <v>2.0500000000000001E-2</v>
      </c>
      <c r="T66">
        <v>897.63</v>
      </c>
      <c r="U66" s="32">
        <v>2.8400000000000002E-2</v>
      </c>
      <c r="V66">
        <v>721.86</v>
      </c>
      <c r="W66" s="32">
        <v>-1.0699999999999999E-2</v>
      </c>
      <c r="X66" s="158">
        <v>22006</v>
      </c>
      <c r="Y66" s="32">
        <v>7.1999999999999998E-3</v>
      </c>
      <c r="Z66" s="32"/>
      <c r="AA66" s="32"/>
      <c r="AB66" s="32"/>
      <c r="AC66" s="32"/>
      <c r="AD66" s="32"/>
      <c r="AE66" s="32"/>
      <c r="AF66" s="32"/>
      <c r="AH66" s="159"/>
      <c r="AI66" s="153"/>
      <c r="AJ66" s="150"/>
      <c r="AK66" s="150"/>
      <c r="AL66" s="150"/>
      <c r="AM66" s="151"/>
      <c r="AN66" s="154"/>
    </row>
    <row r="67" spans="1:40" ht="16.5" x14ac:dyDescent="0.35">
      <c r="A67" s="155">
        <v>45767</v>
      </c>
      <c r="B67">
        <v>875.65</v>
      </c>
      <c r="C67" s="32">
        <v>3.0700000000000002E-2</v>
      </c>
      <c r="D67">
        <v>29800</v>
      </c>
      <c r="E67" s="32">
        <v>-5.0000000000000001E-3</v>
      </c>
      <c r="F67">
        <v>84</v>
      </c>
      <c r="G67" s="32">
        <v>0.05</v>
      </c>
      <c r="H67">
        <v>65.34</v>
      </c>
      <c r="I67" s="32">
        <v>7.1099999999999997E-2</v>
      </c>
      <c r="J67">
        <v>13.75</v>
      </c>
      <c r="K67" s="32">
        <v>0.1215</v>
      </c>
      <c r="L67">
        <v>1466.4</v>
      </c>
      <c r="M67" s="32">
        <v>4.7100000000000003E-2</v>
      </c>
      <c r="N67">
        <v>24039.35</v>
      </c>
      <c r="O67" s="32">
        <v>7.9000000000000008E-3</v>
      </c>
      <c r="P67">
        <v>17382.939999999999</v>
      </c>
      <c r="Q67" s="32">
        <v>6.7299999999999999E-2</v>
      </c>
      <c r="R67">
        <v>6678.92</v>
      </c>
      <c r="S67" s="32">
        <v>3.7400000000000003E-2</v>
      </c>
      <c r="T67">
        <v>872.84</v>
      </c>
      <c r="U67" s="32">
        <v>2.4199999999999999E-2</v>
      </c>
      <c r="V67">
        <v>729.69</v>
      </c>
      <c r="W67" s="32">
        <v>1.66E-2</v>
      </c>
      <c r="X67" s="158">
        <v>21848.15</v>
      </c>
      <c r="Y67" s="32">
        <v>7.7000000000000002E-3</v>
      </c>
      <c r="Z67" s="32"/>
      <c r="AA67" s="32"/>
      <c r="AB67" s="32"/>
      <c r="AC67" s="32"/>
      <c r="AD67" s="32"/>
      <c r="AE67" s="32"/>
      <c r="AF67" s="32"/>
      <c r="AH67" s="159"/>
      <c r="AI67" s="153"/>
      <c r="AJ67" s="150"/>
      <c r="AK67" s="150"/>
      <c r="AL67" s="150"/>
      <c r="AM67" s="151"/>
      <c r="AN67" s="154"/>
    </row>
    <row r="68" spans="1:40" ht="16.5" x14ac:dyDescent="0.35">
      <c r="A68" s="155">
        <v>45760</v>
      </c>
      <c r="B68">
        <v>849.6</v>
      </c>
      <c r="C68" s="32">
        <v>1.06E-2</v>
      </c>
      <c r="D68">
        <v>29950</v>
      </c>
      <c r="E68" s="32">
        <v>4.9000000000000002E-2</v>
      </c>
      <c r="F68">
        <v>80</v>
      </c>
      <c r="G68" s="32">
        <v>3.9E-2</v>
      </c>
      <c r="H68">
        <v>61</v>
      </c>
      <c r="I68" s="32">
        <v>-2.5399999999999999E-2</v>
      </c>
      <c r="J68">
        <v>12.26</v>
      </c>
      <c r="K68" s="32">
        <v>6.3299999999999995E-2</v>
      </c>
      <c r="L68">
        <v>1400.4</v>
      </c>
      <c r="M68" s="32">
        <v>5.2499999999999998E-2</v>
      </c>
      <c r="N68">
        <v>23851.65</v>
      </c>
      <c r="O68" s="32">
        <v>4.48E-2</v>
      </c>
      <c r="P68">
        <v>16286.45</v>
      </c>
      <c r="Q68" s="32">
        <v>-2.6200000000000001E-2</v>
      </c>
      <c r="R68">
        <v>6438.27</v>
      </c>
      <c r="S68" s="32">
        <v>2.81E-2</v>
      </c>
      <c r="T68">
        <v>852.2</v>
      </c>
      <c r="U68" s="32">
        <v>3.9800000000000002E-2</v>
      </c>
      <c r="V68">
        <v>717.77</v>
      </c>
      <c r="W68" s="32">
        <v>3.1899999999999998E-2</v>
      </c>
      <c r="X68" s="158">
        <v>21681.55</v>
      </c>
      <c r="Y68" s="32">
        <v>4.48E-2</v>
      </c>
      <c r="Z68" s="32"/>
      <c r="AA68" s="32"/>
      <c r="AB68" s="32"/>
      <c r="AC68" s="32"/>
      <c r="AD68" s="32"/>
      <c r="AE68" s="32"/>
      <c r="AF68" s="32"/>
      <c r="AH68" s="159"/>
      <c r="AI68" s="153"/>
      <c r="AJ68" s="150"/>
      <c r="AK68" s="150"/>
      <c r="AL68" s="150"/>
      <c r="AM68" s="151"/>
      <c r="AN68" s="154"/>
    </row>
    <row r="69" spans="1:40" ht="16.5" x14ac:dyDescent="0.35">
      <c r="A69" s="155">
        <v>45753</v>
      </c>
      <c r="B69">
        <v>840.7</v>
      </c>
      <c r="C69" s="32">
        <v>2.8899999999999999E-2</v>
      </c>
      <c r="D69">
        <v>28550</v>
      </c>
      <c r="E69" s="32">
        <v>-4.8300000000000003E-2</v>
      </c>
      <c r="F69">
        <v>77</v>
      </c>
      <c r="G69" s="32">
        <v>-7.2300000000000003E-2</v>
      </c>
      <c r="H69">
        <v>62.59</v>
      </c>
      <c r="I69" s="32">
        <v>7.2300000000000003E-2</v>
      </c>
      <c r="J69">
        <v>11.53</v>
      </c>
      <c r="K69" s="32">
        <v>8.9800000000000005E-2</v>
      </c>
      <c r="L69">
        <v>1330.6</v>
      </c>
      <c r="M69" s="32">
        <v>5.6399999999999999E-2</v>
      </c>
      <c r="N69">
        <v>22828.55</v>
      </c>
      <c r="O69" s="32">
        <v>-3.3E-3</v>
      </c>
      <c r="P69">
        <v>16724.46</v>
      </c>
      <c r="Q69" s="32">
        <v>7.2900000000000006E-2</v>
      </c>
      <c r="R69">
        <v>6262.23</v>
      </c>
      <c r="S69" s="32">
        <v>-3.8199999999999998E-2</v>
      </c>
      <c r="T69">
        <v>819.56</v>
      </c>
      <c r="U69" s="32">
        <v>-2.58E-2</v>
      </c>
      <c r="V69">
        <v>695.59</v>
      </c>
      <c r="W69" s="32">
        <v>1.1900000000000001E-2</v>
      </c>
      <c r="X69" s="158">
        <v>20752.849999999999</v>
      </c>
      <c r="Y69" s="32">
        <v>-2.5000000000000001E-3</v>
      </c>
      <c r="Z69" s="32"/>
      <c r="AA69" s="32"/>
      <c r="AB69" s="32"/>
      <c r="AC69" s="32"/>
      <c r="AD69" s="32"/>
      <c r="AE69" s="32"/>
      <c r="AF69" s="32"/>
      <c r="AH69" s="159"/>
      <c r="AI69" s="149"/>
      <c r="AJ69" s="150"/>
      <c r="AK69" s="150"/>
      <c r="AL69" s="150"/>
      <c r="AM69" s="151"/>
      <c r="AN69" s="152"/>
    </row>
    <row r="70" spans="1:40" ht="16.5" x14ac:dyDescent="0.35">
      <c r="A70" s="155">
        <v>45746</v>
      </c>
      <c r="B70">
        <v>817.05</v>
      </c>
      <c r="C70" s="32">
        <v>4.2900000000000001E-2</v>
      </c>
      <c r="D70">
        <v>30000</v>
      </c>
      <c r="E70" s="32">
        <v>-5.0000000000000001E-3</v>
      </c>
      <c r="F70">
        <v>83</v>
      </c>
      <c r="G70" s="32">
        <v>2.47E-2</v>
      </c>
      <c r="H70">
        <v>58.37</v>
      </c>
      <c r="I70" s="32">
        <v>-0.1041</v>
      </c>
      <c r="J70">
        <v>10.58</v>
      </c>
      <c r="K70" s="32">
        <v>-3.73E-2</v>
      </c>
      <c r="L70">
        <v>1259.5999999999999</v>
      </c>
      <c r="M70" s="32">
        <v>-0.13070000000000001</v>
      </c>
      <c r="N70">
        <v>22904.45</v>
      </c>
      <c r="O70" s="32">
        <v>-2.6100000000000002E-2</v>
      </c>
      <c r="P70">
        <v>15587.79</v>
      </c>
      <c r="Q70" s="32">
        <v>-0.1002</v>
      </c>
      <c r="R70">
        <v>6510.62</v>
      </c>
      <c r="S70" s="32">
        <v>4.0300000000000002E-2</v>
      </c>
      <c r="T70">
        <v>841.29</v>
      </c>
      <c r="U70" s="32">
        <v>-7.2900000000000006E-2</v>
      </c>
      <c r="V70">
        <v>687.39</v>
      </c>
      <c r="W70" s="32">
        <v>-9.1999999999999998E-3</v>
      </c>
      <c r="X70" s="158">
        <v>20805.349999999999</v>
      </c>
      <c r="Y70" s="32">
        <v>-2.5000000000000001E-2</v>
      </c>
      <c r="Z70" s="32"/>
      <c r="AA70" s="32"/>
      <c r="AB70" s="32"/>
      <c r="AC70" s="32"/>
      <c r="AD70" s="32"/>
      <c r="AE70" s="32"/>
      <c r="AF70" s="32"/>
      <c r="AH70" s="159"/>
      <c r="AI70" s="149"/>
      <c r="AJ70" s="150"/>
      <c r="AK70" s="150"/>
      <c r="AL70" s="150"/>
      <c r="AM70" s="151"/>
      <c r="AN70" s="152"/>
    </row>
    <row r="71" spans="1:40" ht="16.5" x14ac:dyDescent="0.35">
      <c r="A71" s="155">
        <v>45739</v>
      </c>
      <c r="B71">
        <v>783.45</v>
      </c>
      <c r="C71" s="32">
        <v>4.3099999999999999E-2</v>
      </c>
      <c r="D71">
        <v>30150</v>
      </c>
      <c r="E71" s="32">
        <v>-5.9299999999999999E-2</v>
      </c>
      <c r="F71">
        <v>81</v>
      </c>
      <c r="G71" s="32">
        <v>1.2500000000000001E-2</v>
      </c>
      <c r="H71">
        <v>65.150000000000006</v>
      </c>
      <c r="I71" s="32">
        <v>-7.1800000000000003E-2</v>
      </c>
      <c r="J71">
        <v>10.99</v>
      </c>
      <c r="K71" s="32">
        <v>-9.9000000000000008E-3</v>
      </c>
      <c r="L71">
        <v>1449</v>
      </c>
      <c r="M71" s="32">
        <v>-5.6399999999999999E-2</v>
      </c>
      <c r="N71">
        <v>23519.35</v>
      </c>
      <c r="O71" s="32">
        <v>7.1999999999999998E-3</v>
      </c>
      <c r="P71">
        <v>17322.990000000002</v>
      </c>
      <c r="Q71" s="32">
        <v>-2.5899999999999999E-2</v>
      </c>
      <c r="R71">
        <v>6258.18</v>
      </c>
      <c r="S71" s="32">
        <v>-3.95E-2</v>
      </c>
      <c r="T71">
        <v>907.46</v>
      </c>
      <c r="U71" s="32">
        <v>-8.0999999999999996E-3</v>
      </c>
      <c r="V71">
        <v>693.76</v>
      </c>
      <c r="W71" s="32">
        <v>-3.5700000000000003E-2</v>
      </c>
      <c r="X71" s="158">
        <v>21339.55</v>
      </c>
      <c r="Y71" s="32">
        <v>3.0999999999999999E-3</v>
      </c>
      <c r="Z71" s="32"/>
      <c r="AA71" s="32"/>
      <c r="AB71" s="32"/>
      <c r="AC71" s="32"/>
      <c r="AD71" s="32"/>
      <c r="AE71" s="32"/>
      <c r="AF71" s="32"/>
      <c r="AH71" s="159"/>
      <c r="AI71" s="153"/>
      <c r="AJ71" s="150"/>
      <c r="AK71" s="150"/>
      <c r="AL71" s="150"/>
      <c r="AM71" s="151"/>
      <c r="AN71" s="154"/>
    </row>
    <row r="72" spans="1:40" ht="16.5" x14ac:dyDescent="0.35">
      <c r="A72" s="155">
        <v>45732</v>
      </c>
      <c r="B72">
        <v>751.05</v>
      </c>
      <c r="C72" s="32">
        <v>9.9900000000000003E-2</v>
      </c>
      <c r="D72">
        <v>32050</v>
      </c>
      <c r="E72" s="32">
        <v>4.5699999999999998E-2</v>
      </c>
      <c r="F72">
        <v>80</v>
      </c>
      <c r="G72" s="32">
        <v>-6.9800000000000001E-2</v>
      </c>
      <c r="H72">
        <v>70.19</v>
      </c>
      <c r="I72" s="32">
        <v>1.7999999999999999E-2</v>
      </c>
      <c r="J72">
        <v>11.1</v>
      </c>
      <c r="K72" s="32">
        <v>0.14199999999999999</v>
      </c>
      <c r="L72">
        <v>1535.6</v>
      </c>
      <c r="M72" s="32">
        <v>1.8599999999999998E-2</v>
      </c>
      <c r="N72">
        <v>23350.400000000001</v>
      </c>
      <c r="O72" s="32">
        <v>4.2599999999999999E-2</v>
      </c>
      <c r="P72">
        <v>17784.05</v>
      </c>
      <c r="Q72" s="32">
        <v>1.6999999999999999E-3</v>
      </c>
      <c r="R72">
        <v>6515.63</v>
      </c>
      <c r="S72" s="32">
        <v>-1.8100000000000002E-2</v>
      </c>
      <c r="T72">
        <v>914.83</v>
      </c>
      <c r="U72" s="32">
        <v>1.0200000000000001E-2</v>
      </c>
      <c r="V72">
        <v>719.41</v>
      </c>
      <c r="W72" s="32">
        <v>-2.0199999999999999E-2</v>
      </c>
      <c r="X72" s="158">
        <v>21273.9</v>
      </c>
      <c r="Y72" s="32">
        <v>5.4399999999999997E-2</v>
      </c>
      <c r="Z72" s="32"/>
      <c r="AA72" s="32"/>
      <c r="AB72" s="32"/>
      <c r="AC72" s="32"/>
      <c r="AD72" s="32"/>
      <c r="AE72" s="32"/>
      <c r="AF72" s="32"/>
      <c r="AH72" s="159"/>
      <c r="AI72" s="153"/>
      <c r="AJ72" s="150"/>
      <c r="AK72" s="150"/>
      <c r="AL72" s="150"/>
      <c r="AM72" s="151"/>
      <c r="AN72" s="154"/>
    </row>
    <row r="73" spans="1:40" ht="16.5" x14ac:dyDescent="0.35">
      <c r="A73" s="155">
        <v>45725</v>
      </c>
      <c r="B73">
        <v>682.85</v>
      </c>
      <c r="C73" s="32">
        <v>-2.8999999999999998E-3</v>
      </c>
      <c r="D73">
        <v>30650</v>
      </c>
      <c r="E73" s="32">
        <v>-2.23E-2</v>
      </c>
      <c r="F73">
        <v>86</v>
      </c>
      <c r="G73" s="32">
        <v>0.1467</v>
      </c>
      <c r="H73">
        <v>68.95</v>
      </c>
      <c r="I73" s="32">
        <v>-2.1700000000000001E-2</v>
      </c>
      <c r="J73">
        <v>9.7200000000000006</v>
      </c>
      <c r="K73" s="32">
        <v>1E-3</v>
      </c>
      <c r="L73">
        <v>1507.6</v>
      </c>
      <c r="M73" s="32">
        <v>-5.3999999999999999E-2</v>
      </c>
      <c r="N73">
        <v>22397.200000000001</v>
      </c>
      <c r="O73" s="32">
        <v>-6.8999999999999999E-3</v>
      </c>
      <c r="P73">
        <v>17754.09</v>
      </c>
      <c r="Q73" s="32">
        <v>-2.4299999999999999E-2</v>
      </c>
      <c r="R73">
        <v>6636</v>
      </c>
      <c r="S73" s="32">
        <v>5.8299999999999998E-2</v>
      </c>
      <c r="T73">
        <v>905.63</v>
      </c>
      <c r="U73" s="32">
        <v>-6.3E-3</v>
      </c>
      <c r="V73">
        <v>734.26</v>
      </c>
      <c r="W73" s="32">
        <v>8.9999999999999993E-3</v>
      </c>
      <c r="X73" s="158">
        <v>20176.05</v>
      </c>
      <c r="Y73" s="32">
        <v>-1.3100000000000001E-2</v>
      </c>
      <c r="Z73" s="32"/>
      <c r="AA73" s="32"/>
      <c r="AB73" s="32"/>
      <c r="AC73" s="32"/>
      <c r="AD73" s="32"/>
      <c r="AE73" s="32"/>
      <c r="AF73" s="32"/>
      <c r="AH73" s="159"/>
      <c r="AI73" s="149"/>
      <c r="AJ73" s="150"/>
      <c r="AK73" s="150"/>
      <c r="AL73" s="150"/>
      <c r="AM73" s="151"/>
      <c r="AN73" s="152"/>
    </row>
    <row r="74" spans="1:40" ht="16.5" x14ac:dyDescent="0.35">
      <c r="A74" s="155">
        <v>45718</v>
      </c>
      <c r="B74">
        <v>684.85</v>
      </c>
      <c r="C74" s="32">
        <v>-4.2099999999999999E-2</v>
      </c>
      <c r="D74">
        <v>31350</v>
      </c>
      <c r="E74" s="32">
        <v>-8.4699999999999998E-2</v>
      </c>
      <c r="F74">
        <v>75</v>
      </c>
      <c r="G74" s="32">
        <v>-6.25E-2</v>
      </c>
      <c r="H74">
        <v>70.48</v>
      </c>
      <c r="I74" s="32">
        <v>-8.0000000000000002E-3</v>
      </c>
      <c r="J74">
        <v>9.7100000000000009</v>
      </c>
      <c r="K74" s="32">
        <v>4.9700000000000001E-2</v>
      </c>
      <c r="L74">
        <v>1593.6</v>
      </c>
      <c r="M74" s="32">
        <v>-8.48E-2</v>
      </c>
      <c r="N74">
        <v>22552.5</v>
      </c>
      <c r="O74" s="32">
        <v>1.9300000000000001E-2</v>
      </c>
      <c r="P74">
        <v>18196.22</v>
      </c>
      <c r="Q74" s="32">
        <v>-3.4500000000000003E-2</v>
      </c>
      <c r="R74">
        <v>6270.6</v>
      </c>
      <c r="S74" s="32">
        <v>-7.8299999999999995E-2</v>
      </c>
      <c r="T74">
        <v>911.34</v>
      </c>
      <c r="U74" s="32">
        <v>-1.15E-2</v>
      </c>
      <c r="V74">
        <v>727.7</v>
      </c>
      <c r="W74" s="32">
        <v>-2.1899999999999999E-2</v>
      </c>
      <c r="X74" s="158">
        <v>20443.400000000001</v>
      </c>
      <c r="Y74" s="32">
        <v>2.8299999999999999E-2</v>
      </c>
      <c r="Z74" s="32"/>
      <c r="AA74" s="32"/>
      <c r="AB74" s="32"/>
      <c r="AC74" s="32"/>
      <c r="AD74" s="32"/>
      <c r="AE74" s="32"/>
      <c r="AF74" s="32"/>
      <c r="AH74" s="159"/>
      <c r="AI74" s="153"/>
      <c r="AJ74" s="150"/>
      <c r="AK74" s="150"/>
      <c r="AL74" s="150"/>
      <c r="AM74" s="151"/>
      <c r="AN74" s="154"/>
    </row>
    <row r="75" spans="1:40" ht="16.5" x14ac:dyDescent="0.35">
      <c r="A75" s="155">
        <v>45711</v>
      </c>
      <c r="B75">
        <v>714.95</v>
      </c>
      <c r="C75" s="32">
        <v>-6.6799999999999998E-2</v>
      </c>
      <c r="D75">
        <v>34250</v>
      </c>
      <c r="E75" s="32">
        <v>7.6999999999999999E-2</v>
      </c>
      <c r="F75">
        <v>80</v>
      </c>
      <c r="G75" s="32">
        <v>-1.23E-2</v>
      </c>
      <c r="H75">
        <v>71.05</v>
      </c>
      <c r="I75" s="32">
        <v>-5.1999999999999998E-2</v>
      </c>
      <c r="J75">
        <v>9.25</v>
      </c>
      <c r="K75" s="32">
        <v>-6.6600000000000006E-2</v>
      </c>
      <c r="L75">
        <v>1741.2</v>
      </c>
      <c r="M75" s="32">
        <v>-2.5600000000000001E-2</v>
      </c>
      <c r="N75">
        <v>22124.7</v>
      </c>
      <c r="O75" s="32">
        <v>-2.9399999999999999E-2</v>
      </c>
      <c r="P75">
        <v>18847.28</v>
      </c>
      <c r="Q75" s="32">
        <v>-3.4700000000000002E-2</v>
      </c>
      <c r="R75">
        <v>6803</v>
      </c>
      <c r="S75" s="32">
        <v>2.4799999999999999E-2</v>
      </c>
      <c r="T75">
        <v>921.92</v>
      </c>
      <c r="U75" s="32">
        <v>-1.67E-2</v>
      </c>
      <c r="V75">
        <v>743.96</v>
      </c>
      <c r="W75" s="32">
        <v>-3.9600000000000003E-2</v>
      </c>
      <c r="X75" s="158">
        <v>19880.900000000001</v>
      </c>
      <c r="Y75" s="32">
        <v>-3.9100000000000003E-2</v>
      </c>
      <c r="Z75" s="32"/>
      <c r="AA75" s="32"/>
      <c r="AB75" s="32"/>
      <c r="AC75" s="32"/>
      <c r="AD75" s="32"/>
      <c r="AE75" s="32"/>
      <c r="AF75" s="32"/>
      <c r="AH75" s="159"/>
      <c r="AI75" s="149"/>
      <c r="AJ75" s="150"/>
      <c r="AK75" s="150"/>
      <c r="AL75" s="150"/>
      <c r="AM75" s="151"/>
      <c r="AN75" s="152"/>
    </row>
    <row r="76" spans="1:40" ht="16.5" x14ac:dyDescent="0.35">
      <c r="A76" s="155">
        <v>45704</v>
      </c>
      <c r="B76">
        <v>766.15</v>
      </c>
      <c r="C76" s="32">
        <v>5.8099999999999999E-2</v>
      </c>
      <c r="D76">
        <v>31800</v>
      </c>
      <c r="E76" s="32">
        <v>4.6100000000000002E-2</v>
      </c>
      <c r="F76">
        <v>81</v>
      </c>
      <c r="G76" s="32">
        <v>-2.41E-2</v>
      </c>
      <c r="H76">
        <v>74.95</v>
      </c>
      <c r="I76" s="32">
        <v>-3.8699999999999998E-2</v>
      </c>
      <c r="J76">
        <v>9.91</v>
      </c>
      <c r="K76" s="32">
        <v>1.3299999999999999E-2</v>
      </c>
      <c r="L76">
        <v>1787</v>
      </c>
      <c r="M76" s="32">
        <v>-2.8799999999999999E-2</v>
      </c>
      <c r="N76">
        <v>22795.9</v>
      </c>
      <c r="O76" s="32">
        <v>-5.7999999999999996E-3</v>
      </c>
      <c r="P76">
        <v>19524.009999999998</v>
      </c>
      <c r="Q76" s="32">
        <v>-2.5100000000000001E-2</v>
      </c>
      <c r="R76">
        <v>6638.46</v>
      </c>
      <c r="S76" s="32">
        <v>-1.54E-2</v>
      </c>
      <c r="T76">
        <v>937.58</v>
      </c>
      <c r="U76" s="32">
        <v>-9.4999999999999998E-3</v>
      </c>
      <c r="V76">
        <v>774.65</v>
      </c>
      <c r="W76" s="32">
        <v>2.4199999999999999E-2</v>
      </c>
      <c r="X76" s="158">
        <v>20690.25</v>
      </c>
      <c r="Y76" s="32">
        <v>2.8E-3</v>
      </c>
      <c r="Z76" s="32"/>
      <c r="AA76" s="32"/>
      <c r="AB76" s="32"/>
      <c r="AC76" s="32"/>
      <c r="AD76" s="32"/>
      <c r="AE76" s="32"/>
      <c r="AF76" s="32"/>
      <c r="AH76" s="159"/>
      <c r="AI76" s="153"/>
      <c r="AJ76" s="150"/>
      <c r="AK76" s="150"/>
      <c r="AL76" s="150"/>
      <c r="AM76" s="151"/>
      <c r="AN76" s="154"/>
    </row>
    <row r="77" spans="1:40" ht="16.5" x14ac:dyDescent="0.35">
      <c r="A77" s="155">
        <v>45697</v>
      </c>
      <c r="B77">
        <v>724.05</v>
      </c>
      <c r="C77" s="32">
        <v>-0.10589999999999999</v>
      </c>
      <c r="D77">
        <v>30400</v>
      </c>
      <c r="E77" s="32">
        <v>-5.1499999999999997E-2</v>
      </c>
      <c r="F77">
        <v>83</v>
      </c>
      <c r="G77" s="32">
        <v>2.47E-2</v>
      </c>
      <c r="H77">
        <v>77.97</v>
      </c>
      <c r="I77" s="32">
        <v>8.5000000000000006E-3</v>
      </c>
      <c r="J77">
        <v>9.7799999999999994</v>
      </c>
      <c r="K77" s="32">
        <v>7.0000000000000007E-2</v>
      </c>
      <c r="L77">
        <v>1840</v>
      </c>
      <c r="M77" s="32">
        <v>0.1847</v>
      </c>
      <c r="N77">
        <v>22929.25</v>
      </c>
      <c r="O77" s="32">
        <v>-2.6800000000000001E-2</v>
      </c>
      <c r="P77">
        <v>20026.77</v>
      </c>
      <c r="Q77" s="32">
        <v>2.58E-2</v>
      </c>
      <c r="R77">
        <v>6742.58</v>
      </c>
      <c r="S77" s="32">
        <v>-5.16E-2</v>
      </c>
      <c r="T77">
        <v>946.61</v>
      </c>
      <c r="U77" s="32">
        <v>2.4400000000000002E-2</v>
      </c>
      <c r="V77">
        <v>756.32</v>
      </c>
      <c r="W77" s="32">
        <v>1.8100000000000002E-2</v>
      </c>
      <c r="X77" s="158">
        <v>20633.099999999999</v>
      </c>
      <c r="Y77" s="32">
        <v>-4.6800000000000001E-2</v>
      </c>
      <c r="Z77" s="32"/>
      <c r="AA77" s="32"/>
      <c r="AB77" s="32"/>
      <c r="AC77" s="32"/>
      <c r="AD77" s="32"/>
      <c r="AE77" s="32"/>
      <c r="AF77" s="32"/>
      <c r="AH77" s="159"/>
      <c r="AI77" s="149"/>
      <c r="AJ77" s="150"/>
      <c r="AK77" s="150"/>
      <c r="AL77" s="150"/>
      <c r="AM77" s="151"/>
      <c r="AN77" s="152"/>
    </row>
    <row r="78" spans="1:40" ht="16.5" x14ac:dyDescent="0.35">
      <c r="A78" s="155">
        <v>45690</v>
      </c>
      <c r="B78">
        <v>809.8</v>
      </c>
      <c r="C78" s="32">
        <v>4.3900000000000002E-2</v>
      </c>
      <c r="D78">
        <v>32050</v>
      </c>
      <c r="E78" s="32">
        <v>0.187</v>
      </c>
      <c r="F78">
        <v>81</v>
      </c>
      <c r="G78" s="32">
        <v>-2.41E-2</v>
      </c>
      <c r="H78">
        <v>77.31</v>
      </c>
      <c r="I78" s="32">
        <v>-0.12720000000000001</v>
      </c>
      <c r="J78">
        <v>9.14</v>
      </c>
      <c r="K78" s="32">
        <v>-3.3E-3</v>
      </c>
      <c r="L78">
        <v>1553.2</v>
      </c>
      <c r="M78" s="32">
        <v>-1.0699999999999999E-2</v>
      </c>
      <c r="N78">
        <v>23559.95</v>
      </c>
      <c r="O78" s="32">
        <v>2.2000000000000001E-3</v>
      </c>
      <c r="P78">
        <v>19523.400000000001</v>
      </c>
      <c r="Q78" s="32">
        <v>-5.3E-3</v>
      </c>
      <c r="R78">
        <v>7109.2</v>
      </c>
      <c r="S78" s="32">
        <v>-7.9000000000000008E-3</v>
      </c>
      <c r="T78">
        <v>924.1</v>
      </c>
      <c r="U78" s="32">
        <v>2.3E-3</v>
      </c>
      <c r="V78">
        <v>742.9</v>
      </c>
      <c r="W78" s="32">
        <v>2.01E-2</v>
      </c>
      <c r="X78" s="158">
        <v>21646.15</v>
      </c>
      <c r="Y78" s="32">
        <v>3.0000000000000001E-3</v>
      </c>
      <c r="Z78" s="32"/>
      <c r="AA78" s="32"/>
      <c r="AB78" s="32"/>
      <c r="AC78" s="32"/>
      <c r="AD78" s="32"/>
      <c r="AE78" s="32"/>
      <c r="AF78" s="32"/>
      <c r="AH78" s="159"/>
      <c r="AI78" s="153"/>
      <c r="AJ78" s="150"/>
      <c r="AK78" s="150"/>
      <c r="AL78" s="150"/>
      <c r="AM78" s="151"/>
      <c r="AN78" s="154"/>
    </row>
    <row r="79" spans="1:40" ht="16.5" x14ac:dyDescent="0.35">
      <c r="A79" s="155">
        <v>45683</v>
      </c>
      <c r="B79">
        <v>775.75</v>
      </c>
      <c r="C79" s="32">
        <v>-3.9300000000000002E-2</v>
      </c>
      <c r="D79">
        <v>27000</v>
      </c>
      <c r="E79" s="32">
        <v>4.4499999999999998E-2</v>
      </c>
      <c r="F79">
        <v>83</v>
      </c>
      <c r="G79" s="32">
        <v>-1.1900000000000001E-2</v>
      </c>
      <c r="H79">
        <v>88.58</v>
      </c>
      <c r="I79" s="32">
        <v>-5.8999999999999999E-3</v>
      </c>
      <c r="J79">
        <v>9.17</v>
      </c>
      <c r="K79" s="32">
        <v>5.5199999999999999E-2</v>
      </c>
      <c r="L79">
        <v>1570</v>
      </c>
      <c r="M79" s="32">
        <v>3.2599999999999997E-2</v>
      </c>
      <c r="N79">
        <v>23508.400000000001</v>
      </c>
      <c r="O79" s="32">
        <v>1.7999999999999999E-2</v>
      </c>
      <c r="P79">
        <v>19627.439999999999</v>
      </c>
      <c r="Q79" s="32">
        <v>-1.6400000000000001E-2</v>
      </c>
      <c r="R79">
        <v>7166.06</v>
      </c>
      <c r="S79" s="32">
        <v>1.6000000000000001E-3</v>
      </c>
      <c r="T79">
        <v>921.94</v>
      </c>
      <c r="U79" s="32">
        <v>2.29E-2</v>
      </c>
      <c r="V79">
        <v>728.29</v>
      </c>
      <c r="W79" s="32">
        <v>-5.9999999999999995E-4</v>
      </c>
      <c r="X79" s="158">
        <v>21580.9</v>
      </c>
      <c r="Y79" s="32">
        <v>1.23E-2</v>
      </c>
      <c r="Z79" s="32"/>
      <c r="AA79" s="32"/>
      <c r="AB79" s="32"/>
      <c r="AC79" s="32"/>
      <c r="AD79" s="32"/>
      <c r="AE79" s="32"/>
      <c r="AF79" s="32"/>
      <c r="AH79" s="159"/>
      <c r="AI79" s="153"/>
      <c r="AJ79" s="150"/>
      <c r="AK79" s="150"/>
      <c r="AL79" s="150"/>
      <c r="AM79" s="151"/>
      <c r="AN79" s="154"/>
    </row>
    <row r="80" spans="1:40" ht="16.5" x14ac:dyDescent="0.35">
      <c r="A80" s="155">
        <v>45676</v>
      </c>
      <c r="B80">
        <v>807.45</v>
      </c>
      <c r="C80" s="32">
        <v>-0.10299999999999999</v>
      </c>
      <c r="D80">
        <v>25850</v>
      </c>
      <c r="E80" s="32">
        <v>5.7999999999999996E-3</v>
      </c>
      <c r="F80">
        <v>84</v>
      </c>
      <c r="G80" s="32">
        <v>3.6999999999999998E-2</v>
      </c>
      <c r="H80">
        <v>89.11</v>
      </c>
      <c r="I80" s="32">
        <v>-2.9399999999999999E-2</v>
      </c>
      <c r="J80">
        <v>8.69</v>
      </c>
      <c r="K80" s="32">
        <v>1.52E-2</v>
      </c>
      <c r="L80">
        <v>1520.4</v>
      </c>
      <c r="M80" s="32">
        <v>1.7299999999999999E-2</v>
      </c>
      <c r="N80">
        <v>23092.2</v>
      </c>
      <c r="O80" s="32">
        <v>-4.7999999999999996E-3</v>
      </c>
      <c r="P80">
        <v>19954.3</v>
      </c>
      <c r="Q80" s="32">
        <v>1.6500000000000001E-2</v>
      </c>
      <c r="R80">
        <v>7154.66</v>
      </c>
      <c r="S80" s="32">
        <v>9.2999999999999992E-3</v>
      </c>
      <c r="T80">
        <v>901.33</v>
      </c>
      <c r="U80" s="32">
        <v>-1.41E-2</v>
      </c>
      <c r="V80">
        <v>728.74</v>
      </c>
      <c r="W80" s="32">
        <v>5.5999999999999999E-3</v>
      </c>
      <c r="X80" s="158">
        <v>21318.9</v>
      </c>
      <c r="Y80" s="32">
        <v>-1.67E-2</v>
      </c>
      <c r="Z80" s="32"/>
      <c r="AA80" s="32"/>
      <c r="AB80" s="32"/>
      <c r="AC80" s="32"/>
      <c r="AD80" s="32"/>
      <c r="AE80" s="32"/>
      <c r="AF80" s="32"/>
      <c r="AH80" s="159"/>
      <c r="AI80" s="149"/>
      <c r="AJ80" s="150"/>
      <c r="AK80" s="150"/>
      <c r="AL80" s="150"/>
      <c r="AM80" s="151"/>
      <c r="AN80" s="152"/>
    </row>
    <row r="81" spans="1:40" ht="16.5" x14ac:dyDescent="0.35">
      <c r="A81" s="155">
        <v>45669</v>
      </c>
      <c r="B81">
        <v>900.15</v>
      </c>
      <c r="C81" s="32">
        <v>6.1899999999999997E-2</v>
      </c>
      <c r="D81">
        <v>25700</v>
      </c>
      <c r="E81" s="32">
        <v>-6.2E-2</v>
      </c>
      <c r="F81">
        <v>81</v>
      </c>
      <c r="G81" s="32">
        <v>3.85E-2</v>
      </c>
      <c r="H81">
        <v>91.81</v>
      </c>
      <c r="I81" s="32">
        <v>0.1014</v>
      </c>
      <c r="J81">
        <v>8.56</v>
      </c>
      <c r="K81" s="32">
        <v>9.0399999999999994E-2</v>
      </c>
      <c r="L81">
        <v>1494.6</v>
      </c>
      <c r="M81" s="32">
        <v>1.5100000000000001E-2</v>
      </c>
      <c r="N81">
        <v>23203.200000000001</v>
      </c>
      <c r="O81" s="32">
        <v>-9.7000000000000003E-3</v>
      </c>
      <c r="P81">
        <v>19630.2</v>
      </c>
      <c r="Q81" s="32">
        <v>2.4500000000000001E-2</v>
      </c>
      <c r="R81">
        <v>7088.87</v>
      </c>
      <c r="S81" s="32">
        <v>-1.0500000000000001E-2</v>
      </c>
      <c r="T81">
        <v>914.24</v>
      </c>
      <c r="U81" s="32">
        <v>2.69E-2</v>
      </c>
      <c r="V81">
        <v>724.69</v>
      </c>
      <c r="W81" s="32">
        <v>9.4999999999999998E-3</v>
      </c>
      <c r="X81" s="158">
        <v>21680.25</v>
      </c>
      <c r="Y81" s="32">
        <v>-5.4000000000000003E-3</v>
      </c>
      <c r="Z81" s="32"/>
      <c r="AA81" s="32"/>
      <c r="AB81" s="32"/>
      <c r="AC81" s="32"/>
      <c r="AD81" s="32"/>
      <c r="AE81" s="32"/>
      <c r="AF81" s="32"/>
      <c r="AH81" s="159"/>
      <c r="AI81" s="149"/>
      <c r="AJ81" s="150"/>
      <c r="AK81" s="150"/>
      <c r="AL81" s="150"/>
      <c r="AM81" s="151"/>
      <c r="AN81" s="152"/>
    </row>
    <row r="82" spans="1:40" ht="16.5" x14ac:dyDescent="0.35">
      <c r="A82" s="155">
        <v>45662</v>
      </c>
      <c r="B82">
        <v>847.7</v>
      </c>
      <c r="C82" s="32">
        <v>-0.13750000000000001</v>
      </c>
      <c r="D82">
        <v>27400</v>
      </c>
      <c r="E82" s="32">
        <v>1.11E-2</v>
      </c>
      <c r="F82">
        <v>78</v>
      </c>
      <c r="G82" s="32">
        <v>0.23810000000000001</v>
      </c>
      <c r="H82">
        <v>83.36</v>
      </c>
      <c r="I82" s="32">
        <v>-4.8399999999999999E-2</v>
      </c>
      <c r="J82">
        <v>7.85</v>
      </c>
      <c r="K82" s="32">
        <v>-2.24E-2</v>
      </c>
      <c r="L82">
        <v>1472.4</v>
      </c>
      <c r="M82" s="32">
        <v>2.46E-2</v>
      </c>
      <c r="N82">
        <v>23431.5</v>
      </c>
      <c r="O82" s="32">
        <v>-2.3900000000000001E-2</v>
      </c>
      <c r="P82">
        <v>19161.63</v>
      </c>
      <c r="Q82" s="32">
        <v>-2.3400000000000001E-2</v>
      </c>
      <c r="R82">
        <v>7164.43</v>
      </c>
      <c r="S82" s="32">
        <v>1.8200000000000001E-2</v>
      </c>
      <c r="T82">
        <v>890.3</v>
      </c>
      <c r="U82" s="32">
        <v>6.4999999999999997E-3</v>
      </c>
      <c r="V82">
        <v>717.89</v>
      </c>
      <c r="W82" s="32">
        <v>1.72E-2</v>
      </c>
      <c r="X82" s="158">
        <v>21799</v>
      </c>
      <c r="Y82" s="32">
        <v>-0.04</v>
      </c>
      <c r="Z82" s="32"/>
      <c r="AA82" s="32"/>
      <c r="AB82" s="32"/>
      <c r="AC82" s="32"/>
      <c r="AD82" s="32"/>
      <c r="AE82" s="32"/>
      <c r="AF82" s="32"/>
      <c r="AH82" s="159"/>
      <c r="AI82" s="149"/>
      <c r="AJ82" s="150"/>
      <c r="AK82" s="150"/>
      <c r="AL82" s="150"/>
      <c r="AM82" s="151"/>
      <c r="AN82" s="152"/>
    </row>
    <row r="83" spans="1:40" ht="16.5" x14ac:dyDescent="0.35">
      <c r="A83" s="155">
        <v>45655</v>
      </c>
      <c r="B83">
        <v>982.8</v>
      </c>
      <c r="C83" s="32">
        <v>-3.1E-2</v>
      </c>
      <c r="D83">
        <v>27100</v>
      </c>
      <c r="E83" s="32">
        <v>2.07E-2</v>
      </c>
      <c r="F83">
        <v>63</v>
      </c>
      <c r="G83" s="32">
        <v>-8.6999999999999994E-2</v>
      </c>
      <c r="H83">
        <v>87.6</v>
      </c>
      <c r="I83" s="32">
        <v>8.5000000000000006E-3</v>
      </c>
      <c r="J83">
        <v>8.0299999999999994</v>
      </c>
      <c r="K83" s="32">
        <v>-1.95E-2</v>
      </c>
      <c r="L83">
        <v>1437</v>
      </c>
      <c r="M83" s="32">
        <v>2.9999999999999997E-4</v>
      </c>
      <c r="N83">
        <v>24004.75</v>
      </c>
      <c r="O83" s="32">
        <v>8.0000000000000002E-3</v>
      </c>
      <c r="P83">
        <v>19621.68</v>
      </c>
      <c r="Q83" s="32">
        <v>-5.1000000000000004E-3</v>
      </c>
      <c r="R83">
        <v>7036.57</v>
      </c>
      <c r="S83" s="32">
        <v>7.4999999999999997E-3</v>
      </c>
      <c r="T83">
        <v>884.59</v>
      </c>
      <c r="U83" s="32">
        <v>5.5999999999999999E-3</v>
      </c>
      <c r="V83">
        <v>705.76</v>
      </c>
      <c r="W83" s="32">
        <v>5.9700000000000003E-2</v>
      </c>
      <c r="X83" s="158">
        <v>22708.15</v>
      </c>
      <c r="Y83" s="32">
        <v>1.17E-2</v>
      </c>
      <c r="Z83" s="32"/>
      <c r="AA83" s="32"/>
      <c r="AB83" s="32"/>
      <c r="AC83" s="32"/>
      <c r="AD83" s="32"/>
      <c r="AE83" s="32"/>
      <c r="AF83" s="32"/>
      <c r="AH83" s="159"/>
      <c r="AI83" s="153"/>
      <c r="AJ83" s="150"/>
      <c r="AK83" s="150"/>
      <c r="AL83" s="150"/>
      <c r="AM83" s="151"/>
      <c r="AN83" s="154"/>
    </row>
    <row r="84" spans="1:40" ht="16.5" x14ac:dyDescent="0.35">
      <c r="A84" s="155">
        <v>45648</v>
      </c>
      <c r="B84">
        <v>1014.25</v>
      </c>
      <c r="C84" s="32">
        <v>7.2999999999999995E-2</v>
      </c>
      <c r="D84">
        <v>26550</v>
      </c>
      <c r="E84" s="32">
        <v>-5.5999999999999999E-3</v>
      </c>
      <c r="F84">
        <v>69</v>
      </c>
      <c r="G84" s="32">
        <v>-9.2100000000000001E-2</v>
      </c>
      <c r="H84">
        <v>86.86</v>
      </c>
      <c r="I84" s="32">
        <v>-3.0999999999999999E-3</v>
      </c>
      <c r="J84">
        <v>8.19</v>
      </c>
      <c r="K84" s="32">
        <v>-1.1999999999999999E-3</v>
      </c>
      <c r="L84">
        <v>1436.6</v>
      </c>
      <c r="M84" s="32">
        <v>-3.0999999999999999E-3</v>
      </c>
      <c r="N84">
        <v>23813.4</v>
      </c>
      <c r="O84" s="32">
        <v>9.5999999999999992E-3</v>
      </c>
      <c r="P84">
        <v>19722.03</v>
      </c>
      <c r="Q84" s="32">
        <v>7.6E-3</v>
      </c>
      <c r="R84">
        <v>6983.87</v>
      </c>
      <c r="S84" s="32">
        <v>-4.65E-2</v>
      </c>
      <c r="T84">
        <v>879.7</v>
      </c>
      <c r="U84" s="32">
        <v>4.8999999999999998E-3</v>
      </c>
      <c r="V84">
        <v>665.97</v>
      </c>
      <c r="W84" s="32">
        <v>-3.5000000000000001E-3</v>
      </c>
      <c r="X84" s="158">
        <v>22445.200000000001</v>
      </c>
      <c r="Y84" s="32">
        <v>5.5999999999999999E-3</v>
      </c>
      <c r="Z84" s="32"/>
      <c r="AA84" s="32"/>
      <c r="AB84" s="32"/>
      <c r="AC84" s="32"/>
      <c r="AD84" s="32"/>
      <c r="AE84" s="32"/>
      <c r="AF84" s="32"/>
      <c r="AH84" s="159"/>
      <c r="AI84" s="153"/>
      <c r="AJ84" s="150"/>
      <c r="AK84" s="150"/>
      <c r="AL84" s="150"/>
      <c r="AM84" s="151"/>
      <c r="AN84" s="154"/>
    </row>
    <row r="85" spans="1:40" ht="16.5" x14ac:dyDescent="0.35">
      <c r="A85" s="155">
        <v>45641</v>
      </c>
      <c r="B85">
        <v>945.25</v>
      </c>
      <c r="C85" s="32">
        <v>-3.9600000000000003E-2</v>
      </c>
      <c r="D85">
        <v>26700</v>
      </c>
      <c r="E85" s="32">
        <v>-0.20180000000000001</v>
      </c>
      <c r="F85">
        <v>76</v>
      </c>
      <c r="G85" s="32">
        <v>-1.2999999999999999E-2</v>
      </c>
      <c r="H85">
        <v>87.13</v>
      </c>
      <c r="I85" s="32">
        <v>-4.2700000000000002E-2</v>
      </c>
      <c r="J85">
        <v>8.1999999999999993</v>
      </c>
      <c r="K85" s="32">
        <v>-9.0899999999999995E-2</v>
      </c>
      <c r="L85">
        <v>1441</v>
      </c>
      <c r="M85" s="32">
        <v>-3.3000000000000002E-2</v>
      </c>
      <c r="N85">
        <v>23587.5</v>
      </c>
      <c r="O85" s="32">
        <v>-4.7699999999999999E-2</v>
      </c>
      <c r="P85">
        <v>19572.599999999999</v>
      </c>
      <c r="Q85" s="32">
        <v>-1.78E-2</v>
      </c>
      <c r="R85">
        <v>7324.79</v>
      </c>
      <c r="S85" s="32">
        <v>-7.9000000000000008E-3</v>
      </c>
      <c r="T85">
        <v>875.44</v>
      </c>
      <c r="U85" s="32">
        <v>-2.0299999999999999E-2</v>
      </c>
      <c r="V85">
        <v>668.31</v>
      </c>
      <c r="W85" s="32">
        <v>-3.6600000000000001E-2</v>
      </c>
      <c r="X85" s="158">
        <v>22319.4</v>
      </c>
      <c r="Y85" s="32">
        <v>-4.4499999999999998E-2</v>
      </c>
      <c r="Z85" s="32"/>
      <c r="AA85" s="32"/>
      <c r="AB85" s="32"/>
      <c r="AC85" s="32"/>
      <c r="AD85" s="32"/>
      <c r="AE85" s="32"/>
      <c r="AF85" s="32"/>
      <c r="AH85" s="159"/>
      <c r="AI85" s="149"/>
      <c r="AJ85" s="150"/>
      <c r="AK85" s="150"/>
      <c r="AL85" s="150"/>
      <c r="AM85" s="151"/>
      <c r="AN85" s="152"/>
    </row>
    <row r="86" spans="1:40" ht="16.5" x14ac:dyDescent="0.35">
      <c r="A86" s="155">
        <v>45634</v>
      </c>
      <c r="B86">
        <v>984.25</v>
      </c>
      <c r="C86" s="32">
        <v>8.2000000000000007E-3</v>
      </c>
      <c r="D86">
        <v>33450</v>
      </c>
      <c r="E86" s="32">
        <v>0.1021</v>
      </c>
      <c r="F86">
        <v>77</v>
      </c>
      <c r="G86" s="32">
        <v>8.4500000000000006E-2</v>
      </c>
      <c r="H86">
        <v>91.02</v>
      </c>
      <c r="I86" s="32">
        <v>1.2699999999999999E-2</v>
      </c>
      <c r="J86">
        <v>9.02</v>
      </c>
      <c r="K86" s="32">
        <v>-1.5299999999999999E-2</v>
      </c>
      <c r="L86">
        <v>1490.2</v>
      </c>
      <c r="M86" s="32">
        <v>-2E-3</v>
      </c>
      <c r="N86">
        <v>24768.3</v>
      </c>
      <c r="O86" s="32">
        <v>3.7000000000000002E-3</v>
      </c>
      <c r="P86">
        <v>19926.72</v>
      </c>
      <c r="Q86" s="32">
        <v>3.3999999999999998E-3</v>
      </c>
      <c r="R86">
        <v>7382.79</v>
      </c>
      <c r="S86" s="32">
        <v>3.7699999999999997E-2</v>
      </c>
      <c r="T86">
        <v>893.55</v>
      </c>
      <c r="U86" s="32">
        <v>2.0999999999999999E-3</v>
      </c>
      <c r="V86">
        <v>693.73</v>
      </c>
      <c r="W86" s="32">
        <v>4.9000000000000002E-2</v>
      </c>
      <c r="X86" s="158">
        <v>23358.95</v>
      </c>
      <c r="Y86" s="32">
        <v>2E-3</v>
      </c>
      <c r="Z86" s="32"/>
      <c r="AA86" s="32"/>
      <c r="AB86" s="32"/>
      <c r="AC86" s="32"/>
      <c r="AD86" s="32"/>
      <c r="AE86" s="32"/>
      <c r="AF86" s="32"/>
      <c r="AH86" s="159"/>
      <c r="AI86" s="153"/>
      <c r="AJ86" s="150"/>
      <c r="AK86" s="150"/>
      <c r="AL86" s="150"/>
      <c r="AM86" s="151"/>
      <c r="AN86" s="154"/>
    </row>
    <row r="87" spans="1:40" ht="16.5" x14ac:dyDescent="0.35">
      <c r="A87" s="155">
        <v>45627</v>
      </c>
      <c r="B87">
        <v>976.25</v>
      </c>
      <c r="C87" s="32">
        <v>8.2600000000000007E-2</v>
      </c>
      <c r="D87">
        <v>30350</v>
      </c>
      <c r="E87" s="32">
        <v>0.2263</v>
      </c>
      <c r="F87">
        <v>71</v>
      </c>
      <c r="G87" s="32">
        <v>-8.9700000000000002E-2</v>
      </c>
      <c r="H87">
        <v>89.88</v>
      </c>
      <c r="I87" s="32">
        <v>3.5799999999999998E-2</v>
      </c>
      <c r="J87">
        <v>9.16</v>
      </c>
      <c r="K87" s="32">
        <v>-3.3799999999999997E-2</v>
      </c>
      <c r="L87">
        <v>1493.2</v>
      </c>
      <c r="M87" s="32">
        <v>8.3299999999999999E-2</v>
      </c>
      <c r="N87">
        <v>24677.8</v>
      </c>
      <c r="O87" s="32">
        <v>2.2700000000000001E-2</v>
      </c>
      <c r="P87">
        <v>19859.77</v>
      </c>
      <c r="Q87" s="32">
        <v>3.3399999999999999E-2</v>
      </c>
      <c r="R87">
        <v>7114.27</v>
      </c>
      <c r="S87" s="32">
        <v>-1.1299999999999999E-2</v>
      </c>
      <c r="T87">
        <v>891.67</v>
      </c>
      <c r="U87" s="32">
        <v>1.1299999999999999E-2</v>
      </c>
      <c r="V87">
        <v>661.33</v>
      </c>
      <c r="W87" s="32">
        <v>-2.4899999999999999E-2</v>
      </c>
      <c r="X87" s="158">
        <v>23312.1</v>
      </c>
      <c r="Y87" s="32">
        <v>2.76E-2</v>
      </c>
      <c r="Z87" s="32"/>
      <c r="AA87" s="32"/>
      <c r="AB87" s="32"/>
      <c r="AC87" s="32"/>
      <c r="AD87" s="32"/>
      <c r="AE87" s="32"/>
      <c r="AF87" s="32"/>
      <c r="AH87" s="159"/>
      <c r="AI87" s="153"/>
      <c r="AJ87" s="150"/>
      <c r="AK87" s="150"/>
      <c r="AL87" s="150"/>
      <c r="AM87" s="151"/>
      <c r="AN87" s="154"/>
    </row>
    <row r="88" spans="1:40" ht="16.5" x14ac:dyDescent="0.35">
      <c r="A88" s="155">
        <v>45620</v>
      </c>
      <c r="B88">
        <v>901.75</v>
      </c>
      <c r="C88" s="32">
        <v>8.9999999999999998E-4</v>
      </c>
      <c r="D88">
        <v>24750</v>
      </c>
      <c r="E88" s="32">
        <v>4.87E-2</v>
      </c>
      <c r="F88">
        <v>78</v>
      </c>
      <c r="G88" s="32">
        <v>0.21879999999999999</v>
      </c>
      <c r="H88">
        <v>86.77</v>
      </c>
      <c r="I88" s="32">
        <v>0</v>
      </c>
      <c r="J88">
        <v>9.48</v>
      </c>
      <c r="K88" s="32">
        <v>-7.5999999999999998E-2</v>
      </c>
      <c r="L88">
        <v>1378.4</v>
      </c>
      <c r="M88" s="32">
        <v>6.8199999999999997E-2</v>
      </c>
      <c r="N88">
        <v>24131.1</v>
      </c>
      <c r="O88" s="32">
        <v>9.4000000000000004E-3</v>
      </c>
      <c r="P88">
        <v>19218.169999999998</v>
      </c>
      <c r="Q88" s="32">
        <v>1.1299999999999999E-2</v>
      </c>
      <c r="R88">
        <v>7195.56</v>
      </c>
      <c r="S88" s="32">
        <v>4.7999999999999996E-3</v>
      </c>
      <c r="T88">
        <v>881.73</v>
      </c>
      <c r="U88" s="32">
        <v>2.2000000000000001E-3</v>
      </c>
      <c r="V88">
        <v>678.19</v>
      </c>
      <c r="W88" s="32">
        <v>1.6999999999999999E-3</v>
      </c>
      <c r="X88" s="158">
        <v>22687</v>
      </c>
      <c r="Y88" s="32">
        <v>2.0799999999999999E-2</v>
      </c>
      <c r="Z88" s="32"/>
      <c r="AA88" s="32"/>
      <c r="AB88" s="32"/>
      <c r="AC88" s="32"/>
      <c r="AD88" s="32"/>
      <c r="AE88" s="32"/>
      <c r="AF88" s="32"/>
      <c r="AH88" s="159"/>
      <c r="AI88" s="153"/>
      <c r="AJ88" s="150"/>
      <c r="AK88" s="150"/>
      <c r="AL88" s="150"/>
      <c r="AM88" s="151"/>
      <c r="AN88" s="154"/>
    </row>
    <row r="89" spans="1:40" ht="16.5" x14ac:dyDescent="0.35">
      <c r="A89" s="155">
        <v>45613</v>
      </c>
      <c r="B89">
        <v>900.95</v>
      </c>
      <c r="C89" s="32">
        <v>0.1714</v>
      </c>
      <c r="D89">
        <v>23600</v>
      </c>
      <c r="E89" s="32">
        <v>7.7600000000000002E-2</v>
      </c>
      <c r="F89">
        <v>64</v>
      </c>
      <c r="G89" s="32">
        <v>1.5900000000000001E-2</v>
      </c>
      <c r="H89">
        <v>86.77</v>
      </c>
      <c r="I89" s="32">
        <v>1.0999999999999999E-2</v>
      </c>
      <c r="J89">
        <v>10.26</v>
      </c>
      <c r="K89" s="32">
        <v>5.1200000000000002E-2</v>
      </c>
      <c r="L89">
        <v>1290.4000000000001</v>
      </c>
      <c r="M89" s="32">
        <v>4.3200000000000002E-2</v>
      </c>
      <c r="N89">
        <v>23907.25</v>
      </c>
      <c r="O89" s="32">
        <v>1.5900000000000001E-2</v>
      </c>
      <c r="P89">
        <v>19003.650000000001</v>
      </c>
      <c r="Q89" s="32">
        <v>1.7299999999999999E-2</v>
      </c>
      <c r="R89">
        <v>7161.26</v>
      </c>
      <c r="S89" s="32">
        <v>-1.7299999999999999E-2</v>
      </c>
      <c r="T89">
        <v>879.8</v>
      </c>
      <c r="U89" s="32">
        <v>2.01E-2</v>
      </c>
      <c r="V89">
        <v>677.01</v>
      </c>
      <c r="W89" s="32">
        <v>-1.23E-2</v>
      </c>
      <c r="X89" s="158">
        <v>22225.55</v>
      </c>
      <c r="Y89" s="32">
        <v>1.1900000000000001E-2</v>
      </c>
      <c r="Z89" s="32"/>
      <c r="AA89" s="32"/>
      <c r="AB89" s="32"/>
      <c r="AC89" s="32"/>
      <c r="AD89" s="32"/>
      <c r="AE89" s="32"/>
      <c r="AF89" s="32"/>
      <c r="AH89" s="159"/>
      <c r="AI89" s="153"/>
      <c r="AJ89" s="150"/>
      <c r="AK89" s="150"/>
      <c r="AL89" s="150"/>
      <c r="AM89" s="151"/>
      <c r="AN89" s="154"/>
    </row>
    <row r="90" spans="1:40" ht="16.5" x14ac:dyDescent="0.35">
      <c r="A90" s="155">
        <v>45606</v>
      </c>
      <c r="B90">
        <v>769.1</v>
      </c>
      <c r="C90" s="32">
        <v>-9.3600000000000003E-2</v>
      </c>
      <c r="D90">
        <v>21900</v>
      </c>
      <c r="E90" s="32">
        <v>-0.1079</v>
      </c>
      <c r="F90">
        <v>63</v>
      </c>
      <c r="G90" s="32">
        <v>-7.3499999999999996E-2</v>
      </c>
      <c r="H90">
        <v>85.83</v>
      </c>
      <c r="I90" s="32">
        <v>3.4000000000000002E-2</v>
      </c>
      <c r="J90">
        <v>9.76</v>
      </c>
      <c r="K90" s="32">
        <v>-0.1363</v>
      </c>
      <c r="L90">
        <v>1237</v>
      </c>
      <c r="M90" s="32">
        <v>-2.8000000000000001E-2</v>
      </c>
      <c r="N90">
        <v>23532.7</v>
      </c>
      <c r="O90" s="32">
        <v>-2.5499999999999998E-2</v>
      </c>
      <c r="P90">
        <v>18680.12</v>
      </c>
      <c r="Q90" s="32">
        <v>-3.15E-2</v>
      </c>
      <c r="R90">
        <v>7287.19</v>
      </c>
      <c r="S90" s="32">
        <v>-2.9100000000000001E-2</v>
      </c>
      <c r="T90">
        <v>862.5</v>
      </c>
      <c r="U90" s="32">
        <v>-1.34E-2</v>
      </c>
      <c r="V90">
        <v>685.42</v>
      </c>
      <c r="W90" s="32">
        <v>-7.8E-2</v>
      </c>
      <c r="X90" s="158">
        <v>21963.1</v>
      </c>
      <c r="Y90" s="32">
        <v>-3.0099999999999998E-2</v>
      </c>
      <c r="Z90" s="32"/>
      <c r="AA90" s="32"/>
      <c r="AB90" s="32"/>
      <c r="AC90" s="32"/>
      <c r="AD90" s="32"/>
      <c r="AE90" s="32"/>
      <c r="AF90" s="32"/>
      <c r="AH90" s="159"/>
      <c r="AI90" s="149"/>
      <c r="AJ90" s="150"/>
      <c r="AK90" s="150"/>
      <c r="AL90" s="150"/>
      <c r="AM90" s="151"/>
      <c r="AN90" s="152"/>
    </row>
    <row r="91" spans="1:40" ht="16.5" x14ac:dyDescent="0.35">
      <c r="A91" s="155">
        <v>45599</v>
      </c>
      <c r="B91">
        <v>848.55</v>
      </c>
      <c r="C91" s="32">
        <v>0.1138</v>
      </c>
      <c r="D91">
        <v>24550</v>
      </c>
      <c r="E91" s="32">
        <v>3.15E-2</v>
      </c>
      <c r="F91">
        <v>68</v>
      </c>
      <c r="G91" s="32">
        <v>-2.86E-2</v>
      </c>
      <c r="H91">
        <v>83.01</v>
      </c>
      <c r="I91" s="32">
        <v>7.46E-2</v>
      </c>
      <c r="J91">
        <v>11.3</v>
      </c>
      <c r="K91" s="32">
        <v>1.9900000000000001E-2</v>
      </c>
      <c r="L91">
        <v>1272.5999999999999</v>
      </c>
      <c r="M91" s="32">
        <v>-9.5100000000000004E-2</v>
      </c>
      <c r="N91">
        <v>24148.2</v>
      </c>
      <c r="O91" s="32">
        <v>-6.4000000000000003E-3</v>
      </c>
      <c r="P91">
        <v>19286.78</v>
      </c>
      <c r="Q91" s="32">
        <v>5.74E-2</v>
      </c>
      <c r="R91">
        <v>7505.26</v>
      </c>
      <c r="S91" s="32">
        <v>-2.46E-2</v>
      </c>
      <c r="T91">
        <v>874.18</v>
      </c>
      <c r="U91" s="32">
        <v>-1.0699999999999999E-2</v>
      </c>
      <c r="V91">
        <v>743.38</v>
      </c>
      <c r="W91" s="32">
        <v>1.9699999999999999E-2</v>
      </c>
      <c r="X91" s="158">
        <v>22645.65</v>
      </c>
      <c r="Y91" s="32">
        <v>-7.7999999999999996E-3</v>
      </c>
      <c r="Z91" s="32"/>
      <c r="AA91" s="32"/>
      <c r="AB91" s="32"/>
      <c r="AC91" s="32"/>
      <c r="AD91" s="32"/>
      <c r="AE91" s="32"/>
      <c r="AF91" s="32"/>
      <c r="AH91" s="159"/>
      <c r="AI91" s="149"/>
      <c r="AJ91" s="150"/>
      <c r="AK91" s="150"/>
      <c r="AL91" s="150"/>
      <c r="AM91" s="151"/>
      <c r="AN91" s="152"/>
    </row>
    <row r="92" spans="1:40" ht="16.5" x14ac:dyDescent="0.35">
      <c r="A92" s="155">
        <v>45592</v>
      </c>
      <c r="B92">
        <v>761.85</v>
      </c>
      <c r="C92" s="32">
        <v>2.3400000000000001E-2</v>
      </c>
      <c r="D92">
        <v>23800</v>
      </c>
      <c r="E92" s="32">
        <v>3.2500000000000001E-2</v>
      </c>
      <c r="F92">
        <v>70</v>
      </c>
      <c r="G92" s="32">
        <v>2.9399999999999999E-2</v>
      </c>
      <c r="H92">
        <v>77.25</v>
      </c>
      <c r="I92" s="32">
        <v>-5.45E-2</v>
      </c>
      <c r="J92">
        <v>11.08</v>
      </c>
      <c r="K92" s="32">
        <v>-3.32E-2</v>
      </c>
      <c r="L92">
        <v>1406.4</v>
      </c>
      <c r="M92" s="32">
        <v>-7.9000000000000008E-3</v>
      </c>
      <c r="N92">
        <v>24304.35</v>
      </c>
      <c r="O92" s="32">
        <v>5.1000000000000004E-3</v>
      </c>
      <c r="P92">
        <v>18239.919999999998</v>
      </c>
      <c r="Q92" s="32">
        <v>-1.4999999999999999E-2</v>
      </c>
      <c r="R92">
        <v>7694.66</v>
      </c>
      <c r="S92" s="32">
        <v>-8.3999999999999995E-3</v>
      </c>
      <c r="T92">
        <v>883.62</v>
      </c>
      <c r="U92" s="32">
        <v>-1.6899999999999998E-2</v>
      </c>
      <c r="V92">
        <v>729.05</v>
      </c>
      <c r="W92" s="32">
        <v>2.3E-3</v>
      </c>
      <c r="X92" s="158">
        <v>22823.55</v>
      </c>
      <c r="Y92" s="32">
        <v>1.44E-2</v>
      </c>
      <c r="Z92" s="32"/>
      <c r="AA92" s="32"/>
      <c r="AB92" s="32"/>
      <c r="AC92" s="32"/>
      <c r="AD92" s="32"/>
      <c r="AE92" s="32"/>
      <c r="AF92" s="32"/>
      <c r="AH92" s="159"/>
      <c r="AI92" s="153"/>
      <c r="AJ92" s="150"/>
      <c r="AK92" s="150"/>
      <c r="AL92" s="150"/>
      <c r="AM92" s="151"/>
      <c r="AN92" s="154"/>
    </row>
    <row r="93" spans="1:40" ht="16.5" x14ac:dyDescent="0.35">
      <c r="A93" s="155">
        <v>45585</v>
      </c>
      <c r="B93">
        <v>744.45</v>
      </c>
      <c r="C93" s="32">
        <v>2.6599999999999999E-2</v>
      </c>
      <c r="D93">
        <v>23050</v>
      </c>
      <c r="E93" s="32">
        <v>-7.4300000000000005E-2</v>
      </c>
      <c r="F93">
        <v>68</v>
      </c>
      <c r="G93" s="32">
        <v>0.1333</v>
      </c>
      <c r="H93">
        <v>81.7</v>
      </c>
      <c r="I93" s="32">
        <v>9.4000000000000004E-3</v>
      </c>
      <c r="J93">
        <v>11.46</v>
      </c>
      <c r="K93" s="32">
        <v>3.9899999999999998E-2</v>
      </c>
      <c r="L93">
        <v>1417.6</v>
      </c>
      <c r="M93" s="32">
        <v>-2.0999999999999999E-3</v>
      </c>
      <c r="N93">
        <v>24180.799999999999</v>
      </c>
      <c r="O93" s="32">
        <v>-2.7099999999999999E-2</v>
      </c>
      <c r="P93">
        <v>18518.61</v>
      </c>
      <c r="Q93" s="32">
        <v>1.6000000000000001E-3</v>
      </c>
      <c r="R93">
        <v>7760.06</v>
      </c>
      <c r="S93" s="32">
        <v>3.1800000000000002E-2</v>
      </c>
      <c r="T93">
        <v>898.82</v>
      </c>
      <c r="U93" s="32">
        <v>-5.1000000000000004E-3</v>
      </c>
      <c r="V93">
        <v>727.41</v>
      </c>
      <c r="W93" s="32">
        <v>-3.4299999999999997E-2</v>
      </c>
      <c r="X93" s="158">
        <v>22499.05</v>
      </c>
      <c r="Y93" s="32">
        <v>-4.02E-2</v>
      </c>
      <c r="Z93" s="32"/>
      <c r="AA93" s="32"/>
      <c r="AB93" s="32"/>
      <c r="AC93" s="32"/>
      <c r="AD93" s="32"/>
      <c r="AE93" s="32"/>
      <c r="AF93" s="32"/>
      <c r="AH93" s="159"/>
      <c r="AI93" s="149"/>
      <c r="AJ93" s="150"/>
      <c r="AK93" s="150"/>
      <c r="AL93" s="150"/>
      <c r="AM93" s="151"/>
      <c r="AN93" s="152"/>
    </row>
    <row r="94" spans="1:40" ht="16.5" x14ac:dyDescent="0.35">
      <c r="A94" s="155">
        <v>45578</v>
      </c>
      <c r="B94">
        <v>725.15</v>
      </c>
      <c r="C94" s="32">
        <v>8.9999999999999998E-4</v>
      </c>
      <c r="D94">
        <v>24900</v>
      </c>
      <c r="E94" s="32">
        <v>8.0999999999999996E-3</v>
      </c>
      <c r="F94">
        <v>60</v>
      </c>
      <c r="G94" s="32">
        <v>0</v>
      </c>
      <c r="H94">
        <v>80.94</v>
      </c>
      <c r="I94" s="32">
        <v>5.3E-3</v>
      </c>
      <c r="J94">
        <v>11.02</v>
      </c>
      <c r="K94" s="32">
        <v>6.4000000000000003E-3</v>
      </c>
      <c r="L94">
        <v>1420.6</v>
      </c>
      <c r="M94" s="32">
        <v>4.3299999999999998E-2</v>
      </c>
      <c r="N94">
        <v>24854.05</v>
      </c>
      <c r="O94" s="32">
        <v>-4.4000000000000003E-3</v>
      </c>
      <c r="P94">
        <v>18489.55</v>
      </c>
      <c r="Q94" s="32">
        <v>8.0000000000000002E-3</v>
      </c>
      <c r="R94">
        <v>7520.6</v>
      </c>
      <c r="S94" s="32">
        <v>3.3E-3</v>
      </c>
      <c r="T94">
        <v>903.41</v>
      </c>
      <c r="U94" s="32">
        <v>-1.37E-2</v>
      </c>
      <c r="V94">
        <v>753.22</v>
      </c>
      <c r="W94" s="32">
        <v>-2.3E-2</v>
      </c>
      <c r="X94" s="158">
        <v>23440.7</v>
      </c>
      <c r="Y94" s="32">
        <v>-7.1999999999999998E-3</v>
      </c>
      <c r="Z94" s="32"/>
      <c r="AA94" s="32"/>
      <c r="AB94" s="32"/>
      <c r="AC94" s="32"/>
      <c r="AD94" s="32"/>
      <c r="AE94" s="32"/>
      <c r="AF94" s="32"/>
      <c r="AH94" s="159"/>
      <c r="AI94" s="149"/>
      <c r="AJ94" s="150"/>
      <c r="AK94" s="150"/>
      <c r="AL94" s="150"/>
      <c r="AM94" s="151"/>
      <c r="AN94" s="152"/>
    </row>
    <row r="95" spans="1:40" ht="16.5" x14ac:dyDescent="0.35">
      <c r="A95" s="155">
        <v>45571</v>
      </c>
      <c r="B95">
        <v>724.5</v>
      </c>
      <c r="C95" s="32">
        <v>4.2200000000000001E-2</v>
      </c>
      <c r="D95">
        <v>24700</v>
      </c>
      <c r="E95" s="32">
        <v>3.3500000000000002E-2</v>
      </c>
      <c r="F95">
        <v>60</v>
      </c>
      <c r="G95" s="32">
        <v>-0.1429</v>
      </c>
      <c r="H95" s="156">
        <v>80.510000000000005</v>
      </c>
      <c r="I95" s="32">
        <v>1.4500000000000001E-2</v>
      </c>
      <c r="J95">
        <v>10.95</v>
      </c>
      <c r="K95" s="32">
        <v>-3.3500000000000002E-2</v>
      </c>
      <c r="L95">
        <v>1361.6</v>
      </c>
      <c r="M95" s="32">
        <v>9.1999999999999998E-3</v>
      </c>
      <c r="N95">
        <v>24964.25</v>
      </c>
      <c r="O95" s="32">
        <v>-2E-3</v>
      </c>
      <c r="P95">
        <v>18342.939999999999</v>
      </c>
      <c r="Q95" s="32">
        <v>1.1299999999999999E-2</v>
      </c>
      <c r="R95">
        <v>7496.09</v>
      </c>
      <c r="S95" s="32">
        <v>-2.6100000000000002E-2</v>
      </c>
      <c r="T95">
        <v>915.96</v>
      </c>
      <c r="U95" s="32">
        <v>4.5999999999999999E-3</v>
      </c>
      <c r="V95">
        <v>770.98</v>
      </c>
      <c r="W95" s="32">
        <v>2.5999999999999999E-3</v>
      </c>
      <c r="X95" s="158">
        <v>23611.25</v>
      </c>
      <c r="Y95" s="32">
        <v>3.2000000000000002E-3</v>
      </c>
      <c r="Z95" s="32"/>
      <c r="AA95" s="32"/>
      <c r="AB95" s="32"/>
      <c r="AC95" s="32"/>
      <c r="AD95" s="32"/>
      <c r="AE95" s="32"/>
      <c r="AF95" s="32"/>
      <c r="AH95" s="159"/>
      <c r="AI95" s="153"/>
      <c r="AJ95" s="150"/>
      <c r="AK95" s="150"/>
      <c r="AL95" s="150"/>
      <c r="AM95" s="151"/>
      <c r="AN95" s="154"/>
    </row>
    <row r="96" spans="1:40" ht="16.5" x14ac:dyDescent="0.35">
      <c r="A96" s="155">
        <v>45564</v>
      </c>
      <c r="B96">
        <v>695.15</v>
      </c>
      <c r="C96" s="32">
        <v>3.4000000000000002E-2</v>
      </c>
      <c r="D96">
        <v>23900</v>
      </c>
      <c r="E96" s="32">
        <v>-4.02E-2</v>
      </c>
      <c r="F96">
        <v>70</v>
      </c>
      <c r="G96" s="32">
        <v>0.1111</v>
      </c>
      <c r="H96">
        <v>79.36</v>
      </c>
      <c r="I96" s="32">
        <v>1.9E-2</v>
      </c>
      <c r="J96">
        <v>11.33</v>
      </c>
      <c r="K96" s="32">
        <v>-1.2200000000000001E-2</v>
      </c>
      <c r="L96">
        <v>1349.2</v>
      </c>
      <c r="M96" s="32">
        <v>-4.2200000000000001E-2</v>
      </c>
      <c r="N96">
        <v>25014.6</v>
      </c>
      <c r="O96" s="32">
        <v>-4.4499999999999998E-2</v>
      </c>
      <c r="P96">
        <v>18137.849999999999</v>
      </c>
      <c r="Q96" s="32">
        <v>1E-3</v>
      </c>
      <c r="R96">
        <v>7696.92</v>
      </c>
      <c r="S96" s="32">
        <v>-6.0000000000000001E-3</v>
      </c>
      <c r="T96">
        <v>911.81</v>
      </c>
      <c r="U96" s="32">
        <v>-6.1000000000000004E-3</v>
      </c>
      <c r="V96">
        <v>768.98</v>
      </c>
      <c r="W96" s="32">
        <v>-7.1000000000000004E-3</v>
      </c>
      <c r="X96" s="158">
        <v>23534.95</v>
      </c>
      <c r="Y96" s="32">
        <v>-3.9E-2</v>
      </c>
      <c r="Z96" s="32"/>
      <c r="AA96" s="32"/>
      <c r="AB96" s="32"/>
      <c r="AC96" s="32"/>
      <c r="AD96" s="32"/>
      <c r="AE96" s="32"/>
      <c r="AF96" s="32"/>
      <c r="AH96" s="159"/>
      <c r="AI96" s="149"/>
      <c r="AJ96" s="150"/>
      <c r="AK96" s="150"/>
      <c r="AL96" s="150"/>
      <c r="AM96" s="151"/>
      <c r="AN96" s="152"/>
    </row>
    <row r="97" spans="1:40" ht="16.5" x14ac:dyDescent="0.35">
      <c r="A97" s="155">
        <v>45557</v>
      </c>
      <c r="B97">
        <v>672.3</v>
      </c>
      <c r="C97" s="32">
        <v>1.23E-2</v>
      </c>
      <c r="D97">
        <v>24900</v>
      </c>
      <c r="E97" s="32">
        <v>4.6199999999999998E-2</v>
      </c>
      <c r="F97">
        <v>63</v>
      </c>
      <c r="G97" s="32">
        <v>3.2800000000000003E-2</v>
      </c>
      <c r="H97">
        <v>77.88</v>
      </c>
      <c r="I97" s="32">
        <v>1.46E-2</v>
      </c>
      <c r="J97">
        <v>11.47</v>
      </c>
      <c r="K97" s="32">
        <v>1.4999999999999999E-2</v>
      </c>
      <c r="L97">
        <v>1408.6</v>
      </c>
      <c r="M97" s="32">
        <v>1.7899999999999999E-2</v>
      </c>
      <c r="N97">
        <v>26178.95</v>
      </c>
      <c r="O97" s="32">
        <v>1.4999999999999999E-2</v>
      </c>
      <c r="P97">
        <v>18119.59</v>
      </c>
      <c r="Q97" s="32">
        <v>9.4999999999999998E-3</v>
      </c>
      <c r="R97">
        <v>7743</v>
      </c>
      <c r="S97" s="32">
        <v>-8.8000000000000005E-3</v>
      </c>
      <c r="T97">
        <v>917.43</v>
      </c>
      <c r="U97" s="32">
        <v>2.2100000000000002E-2</v>
      </c>
      <c r="V97">
        <v>774.49</v>
      </c>
      <c r="W97" s="32">
        <v>3.5000000000000003E-2</v>
      </c>
      <c r="X97" s="158">
        <v>24489.55</v>
      </c>
      <c r="Y97" s="32">
        <v>1.2200000000000001E-2</v>
      </c>
      <c r="Z97" s="32"/>
      <c r="AA97" s="32"/>
      <c r="AB97" s="32"/>
      <c r="AC97" s="32"/>
      <c r="AD97" s="32"/>
      <c r="AE97" s="32"/>
      <c r="AF97" s="32"/>
      <c r="AH97" s="159"/>
      <c r="AI97" s="153"/>
      <c r="AJ97" s="150"/>
      <c r="AK97" s="150"/>
      <c r="AL97" s="150"/>
      <c r="AM97" s="151"/>
      <c r="AN97" s="154"/>
    </row>
    <row r="98" spans="1:40" ht="16.5" x14ac:dyDescent="0.35">
      <c r="A98" s="155">
        <v>45550</v>
      </c>
      <c r="B98">
        <v>664.1</v>
      </c>
      <c r="C98" s="32">
        <v>1.4E-2</v>
      </c>
      <c r="D98">
        <v>23800</v>
      </c>
      <c r="E98" s="32">
        <v>-2.2599999999999999E-2</v>
      </c>
      <c r="F98">
        <v>61</v>
      </c>
      <c r="G98" s="32">
        <v>0.15090000000000001</v>
      </c>
      <c r="H98">
        <v>76.760000000000005</v>
      </c>
      <c r="I98" s="32">
        <v>9.5000000000000001E-2</v>
      </c>
      <c r="J98">
        <v>11.3</v>
      </c>
      <c r="K98" s="32">
        <v>-7.6799999999999993E-2</v>
      </c>
      <c r="L98">
        <v>1383.8</v>
      </c>
      <c r="M98" s="32">
        <v>5.4699999999999999E-2</v>
      </c>
      <c r="N98">
        <v>25790.95</v>
      </c>
      <c r="O98" s="32">
        <v>1.7100000000000001E-2</v>
      </c>
      <c r="P98">
        <v>17948.32</v>
      </c>
      <c r="Q98" s="32">
        <v>1.49E-2</v>
      </c>
      <c r="R98">
        <v>7812.13</v>
      </c>
      <c r="S98" s="32">
        <v>1.17E-2</v>
      </c>
      <c r="T98">
        <v>897.55</v>
      </c>
      <c r="U98" s="32">
        <v>-2.3E-3</v>
      </c>
      <c r="V98">
        <v>748.33</v>
      </c>
      <c r="W98" s="32">
        <v>2.06E-2</v>
      </c>
      <c r="X98" s="158">
        <v>24193.8</v>
      </c>
      <c r="Y98" s="32">
        <v>1.11E-2</v>
      </c>
      <c r="Z98" s="32"/>
      <c r="AA98" s="32"/>
      <c r="AB98" s="32"/>
      <c r="AC98" s="32"/>
      <c r="AD98" s="32"/>
      <c r="AE98" s="32"/>
      <c r="AF98" s="32"/>
      <c r="AH98" s="159"/>
      <c r="AI98" s="153"/>
      <c r="AJ98" s="150"/>
      <c r="AK98" s="150"/>
      <c r="AL98" s="150"/>
      <c r="AM98" s="151"/>
      <c r="AN98" s="154"/>
    </row>
    <row r="99" spans="1:40" ht="16.5" x14ac:dyDescent="0.35">
      <c r="A99" s="155">
        <v>45543</v>
      </c>
      <c r="B99">
        <v>654.95000000000005</v>
      </c>
      <c r="C99" s="32">
        <v>8.4699999999999998E-2</v>
      </c>
      <c r="D99">
        <v>24350</v>
      </c>
      <c r="E99" s="32">
        <v>5.4100000000000002E-2</v>
      </c>
      <c r="F99">
        <v>53</v>
      </c>
      <c r="G99" s="32">
        <v>1.9199999999999998E-2</v>
      </c>
      <c r="H99">
        <v>70.099999999999994</v>
      </c>
      <c r="I99" s="32">
        <v>1.7600000000000001E-2</v>
      </c>
      <c r="J99">
        <v>12.24</v>
      </c>
      <c r="K99" s="32">
        <v>8.0299999999999996E-2</v>
      </c>
      <c r="L99">
        <v>1312</v>
      </c>
      <c r="M99" s="32">
        <v>4.2799999999999998E-2</v>
      </c>
      <c r="N99">
        <v>25356.5</v>
      </c>
      <c r="O99" s="32">
        <v>2.0299999999999999E-2</v>
      </c>
      <c r="P99">
        <v>17683.98</v>
      </c>
      <c r="Q99" s="32">
        <v>5.9499999999999997E-2</v>
      </c>
      <c r="R99">
        <v>7721.85</v>
      </c>
      <c r="S99" s="32">
        <v>6.7000000000000002E-3</v>
      </c>
      <c r="T99">
        <v>899.6</v>
      </c>
      <c r="U99" s="32">
        <v>2.3099999999999999E-2</v>
      </c>
      <c r="V99">
        <v>733.2</v>
      </c>
      <c r="W99" s="32">
        <v>3.7699999999999997E-2</v>
      </c>
      <c r="X99" s="158">
        <v>23928.2</v>
      </c>
      <c r="Y99" s="32">
        <v>1.9199999999999998E-2</v>
      </c>
      <c r="Z99" s="32"/>
      <c r="AA99" s="32"/>
      <c r="AB99" s="32"/>
      <c r="AC99" s="32"/>
      <c r="AD99" s="32"/>
      <c r="AE99" s="32"/>
      <c r="AF99" s="32"/>
      <c r="AH99" s="159"/>
      <c r="AI99" s="153"/>
      <c r="AJ99" s="150"/>
      <c r="AK99" s="150"/>
      <c r="AL99" s="150"/>
      <c r="AM99" s="151"/>
      <c r="AN99" s="154"/>
    </row>
    <row r="100" spans="1:40" ht="16.5" x14ac:dyDescent="0.35">
      <c r="A100" s="155">
        <v>45536</v>
      </c>
      <c r="B100">
        <v>603.79999999999995</v>
      </c>
      <c r="C100" s="32">
        <v>-2.9100000000000001E-2</v>
      </c>
      <c r="D100">
        <v>23100</v>
      </c>
      <c r="E100" s="32">
        <v>-8.1500000000000003E-2</v>
      </c>
      <c r="F100">
        <v>52</v>
      </c>
      <c r="G100" s="32">
        <v>-1.89E-2</v>
      </c>
      <c r="H100">
        <v>68.89</v>
      </c>
      <c r="I100" s="32">
        <v>-4.8899999999999999E-2</v>
      </c>
      <c r="J100">
        <v>11.33</v>
      </c>
      <c r="K100" s="32">
        <v>-0.14560000000000001</v>
      </c>
      <c r="L100">
        <v>1258.2</v>
      </c>
      <c r="M100" s="32">
        <v>-5.33E-2</v>
      </c>
      <c r="N100">
        <v>24852.15</v>
      </c>
      <c r="O100" s="32">
        <v>-1.52E-2</v>
      </c>
      <c r="P100">
        <v>16690.830000000002</v>
      </c>
      <c r="Q100" s="32">
        <v>-5.7700000000000001E-2</v>
      </c>
      <c r="R100">
        <v>7670.73</v>
      </c>
      <c r="S100" s="32">
        <v>1.6799999999999999E-2</v>
      </c>
      <c r="T100">
        <v>879.29</v>
      </c>
      <c r="U100" s="32">
        <v>-4.2900000000000001E-2</v>
      </c>
      <c r="V100">
        <v>706.59</v>
      </c>
      <c r="W100" s="32">
        <v>-7.9600000000000004E-2</v>
      </c>
      <c r="X100" s="158">
        <v>23477.7</v>
      </c>
      <c r="Y100" s="32">
        <v>-1.0800000000000001E-2</v>
      </c>
      <c r="Z100" s="32"/>
      <c r="AA100" s="32"/>
      <c r="AB100" s="32"/>
      <c r="AC100" s="32"/>
      <c r="AD100" s="32"/>
      <c r="AE100" s="32"/>
      <c r="AF100" s="32"/>
      <c r="AH100" s="159"/>
      <c r="AI100" s="149"/>
      <c r="AJ100" s="150"/>
      <c r="AK100" s="150"/>
      <c r="AL100" s="150"/>
      <c r="AM100" s="151"/>
      <c r="AN100" s="152"/>
    </row>
    <row r="101" spans="1:40" ht="16.5" x14ac:dyDescent="0.35">
      <c r="A101" s="155">
        <v>45529</v>
      </c>
      <c r="B101">
        <v>621.9</v>
      </c>
      <c r="C101" s="32">
        <v>0.1208</v>
      </c>
      <c r="D101">
        <v>25150</v>
      </c>
      <c r="E101" s="32">
        <v>2.24E-2</v>
      </c>
      <c r="F101">
        <v>53</v>
      </c>
      <c r="G101" s="32">
        <v>-1.8499999999999999E-2</v>
      </c>
      <c r="H101">
        <v>72.430000000000007</v>
      </c>
      <c r="I101" s="32">
        <v>1.0200000000000001E-2</v>
      </c>
      <c r="J101">
        <v>13.26</v>
      </c>
      <c r="K101" s="32">
        <v>-4.8800000000000003E-2</v>
      </c>
      <c r="L101">
        <v>1329</v>
      </c>
      <c r="M101" s="32">
        <v>2.3E-3</v>
      </c>
      <c r="N101">
        <v>25235.9</v>
      </c>
      <c r="O101" s="32">
        <v>1.66E-2</v>
      </c>
      <c r="P101">
        <v>17713.62</v>
      </c>
      <c r="Q101" s="32">
        <v>-9.1999999999999998E-3</v>
      </c>
      <c r="R101">
        <v>7544.3</v>
      </c>
      <c r="S101" s="32">
        <v>1.5100000000000001E-2</v>
      </c>
      <c r="T101">
        <v>918.66</v>
      </c>
      <c r="U101" s="32">
        <v>1.11E-2</v>
      </c>
      <c r="V101">
        <v>767.66</v>
      </c>
      <c r="W101" s="32">
        <v>-7.1999999999999998E-3</v>
      </c>
      <c r="X101" s="158">
        <v>23734.55</v>
      </c>
      <c r="Y101" s="32">
        <v>1.35E-2</v>
      </c>
      <c r="Z101" s="32"/>
      <c r="AA101" s="32"/>
      <c r="AB101" s="32"/>
      <c r="AC101" s="32"/>
      <c r="AD101" s="32"/>
      <c r="AE101" s="32"/>
      <c r="AF101" s="32"/>
      <c r="AH101" s="159"/>
      <c r="AI101" s="153"/>
      <c r="AJ101" s="150"/>
      <c r="AK101" s="150"/>
      <c r="AL101" s="150"/>
      <c r="AM101" s="151"/>
      <c r="AN101" s="154"/>
    </row>
    <row r="102" spans="1:40" ht="16.5" x14ac:dyDescent="0.35">
      <c r="A102" s="155">
        <v>45522</v>
      </c>
      <c r="B102">
        <v>554.85</v>
      </c>
      <c r="C102" s="32">
        <v>-1.67E-2</v>
      </c>
      <c r="D102">
        <v>24600</v>
      </c>
      <c r="E102" s="32">
        <v>2.93E-2</v>
      </c>
      <c r="F102">
        <v>54</v>
      </c>
      <c r="G102" s="32">
        <v>5.8799999999999998E-2</v>
      </c>
      <c r="H102">
        <v>71.7</v>
      </c>
      <c r="I102" s="32">
        <v>5.5E-2</v>
      </c>
      <c r="J102">
        <v>13.94</v>
      </c>
      <c r="K102" s="32">
        <v>-3.4599999999999999E-2</v>
      </c>
      <c r="L102">
        <v>1326</v>
      </c>
      <c r="M102" s="32">
        <v>2.1299999999999999E-2</v>
      </c>
      <c r="N102">
        <v>24823.15</v>
      </c>
      <c r="O102" s="32">
        <v>1.15E-2</v>
      </c>
      <c r="P102">
        <v>17877.79</v>
      </c>
      <c r="Q102" s="32">
        <v>1.4E-2</v>
      </c>
      <c r="R102">
        <v>7432.09</v>
      </c>
      <c r="S102" s="32">
        <v>2.41E-2</v>
      </c>
      <c r="T102">
        <v>908.56</v>
      </c>
      <c r="U102" s="32">
        <v>3.2000000000000002E-3</v>
      </c>
      <c r="V102">
        <v>773.26</v>
      </c>
      <c r="W102" s="32">
        <v>-1.66E-2</v>
      </c>
      <c r="X102" s="158">
        <v>23418.65</v>
      </c>
      <c r="Y102" s="32">
        <v>1.5699999999999999E-2</v>
      </c>
      <c r="Z102" s="32"/>
      <c r="AA102" s="32"/>
      <c r="AB102" s="32"/>
      <c r="AC102" s="32"/>
      <c r="AD102" s="32"/>
      <c r="AE102" s="32"/>
      <c r="AF102" s="32"/>
      <c r="AH102" s="159"/>
      <c r="AI102" s="153"/>
      <c r="AJ102" s="150"/>
      <c r="AK102" s="150"/>
      <c r="AL102" s="150"/>
      <c r="AM102" s="151"/>
      <c r="AN102" s="154"/>
    </row>
    <row r="103" spans="1:40" ht="16.5" x14ac:dyDescent="0.35">
      <c r="A103" s="155">
        <v>45515</v>
      </c>
      <c r="B103">
        <v>564.25</v>
      </c>
      <c r="C103" s="32">
        <v>0.1045</v>
      </c>
      <c r="D103">
        <v>23900</v>
      </c>
      <c r="E103" s="32">
        <v>-1.6500000000000001E-2</v>
      </c>
      <c r="F103">
        <v>51</v>
      </c>
      <c r="G103" s="32">
        <v>-3.7699999999999997E-2</v>
      </c>
      <c r="H103">
        <v>67.959999999999994</v>
      </c>
      <c r="I103" s="32">
        <v>5.0099999999999999E-2</v>
      </c>
      <c r="J103">
        <v>14.44</v>
      </c>
      <c r="K103" s="32">
        <v>9.4799999999999995E-2</v>
      </c>
      <c r="L103">
        <v>1298.4000000000001</v>
      </c>
      <c r="M103" s="32">
        <v>0.19600000000000001</v>
      </c>
      <c r="N103">
        <v>24541.15</v>
      </c>
      <c r="O103" s="32">
        <v>7.1000000000000004E-3</v>
      </c>
      <c r="P103">
        <v>17631.72</v>
      </c>
      <c r="Q103" s="32">
        <v>5.2900000000000003E-2</v>
      </c>
      <c r="R103">
        <v>7257</v>
      </c>
      <c r="S103" s="32">
        <v>-7.0000000000000001E-3</v>
      </c>
      <c r="T103">
        <v>905.67</v>
      </c>
      <c r="U103" s="32">
        <v>2.52E-2</v>
      </c>
      <c r="V103">
        <v>786.33</v>
      </c>
      <c r="W103" s="32">
        <v>2.86E-2</v>
      </c>
      <c r="X103" s="158">
        <v>23056.5</v>
      </c>
      <c r="Y103" s="32">
        <v>5.7999999999999996E-3</v>
      </c>
      <c r="Z103" s="32"/>
      <c r="AA103" s="32"/>
      <c r="AB103" s="32"/>
      <c r="AC103" s="32"/>
      <c r="AD103" s="32"/>
      <c r="AE103" s="32"/>
      <c r="AF103" s="32"/>
      <c r="AH103" s="159"/>
      <c r="AI103" s="153"/>
      <c r="AJ103" s="150"/>
      <c r="AK103" s="150"/>
      <c r="AL103" s="150"/>
      <c r="AM103" s="151"/>
      <c r="AN103" s="154"/>
    </row>
    <row r="104" spans="1:40" ht="16.5" x14ac:dyDescent="0.35">
      <c r="A104" s="155">
        <v>45508</v>
      </c>
      <c r="B104">
        <v>510.85</v>
      </c>
      <c r="C104" s="32">
        <v>-3.0599999999999999E-2</v>
      </c>
      <c r="D104">
        <v>24300</v>
      </c>
      <c r="E104" s="32">
        <v>-3.3799999999999997E-2</v>
      </c>
      <c r="F104">
        <v>53</v>
      </c>
      <c r="G104" s="32">
        <v>0</v>
      </c>
      <c r="H104">
        <v>64.72</v>
      </c>
      <c r="I104" s="32">
        <v>4.4200000000000003E-2</v>
      </c>
      <c r="J104">
        <v>13.19</v>
      </c>
      <c r="K104" s="32">
        <v>5.6899999999999999E-2</v>
      </c>
      <c r="L104">
        <v>1085.5999999999999</v>
      </c>
      <c r="M104" s="32">
        <v>0.04</v>
      </c>
      <c r="N104">
        <v>24367.5</v>
      </c>
      <c r="O104" s="32">
        <v>-1.4200000000000001E-2</v>
      </c>
      <c r="P104">
        <v>16745.3</v>
      </c>
      <c r="Q104" s="32">
        <v>-1.8E-3</v>
      </c>
      <c r="R104">
        <v>7308.12</v>
      </c>
      <c r="S104" s="32">
        <v>2.7000000000000001E-3</v>
      </c>
      <c r="T104">
        <v>883.37</v>
      </c>
      <c r="U104" s="32">
        <v>5.1000000000000004E-3</v>
      </c>
      <c r="V104">
        <v>764.43</v>
      </c>
      <c r="W104" s="32">
        <v>-1.9099999999999999E-2</v>
      </c>
      <c r="X104" s="158">
        <v>22923.5</v>
      </c>
      <c r="Y104" s="32">
        <v>-1.44E-2</v>
      </c>
      <c r="Z104" s="32"/>
      <c r="AA104" s="32"/>
      <c r="AB104" s="32"/>
      <c r="AC104" s="32"/>
      <c r="AD104" s="32"/>
      <c r="AE104" s="32"/>
      <c r="AF104" s="32"/>
      <c r="AH104" s="159"/>
      <c r="AI104" s="149"/>
      <c r="AJ104" s="150"/>
      <c r="AK104" s="150"/>
      <c r="AL104" s="150"/>
      <c r="AM104" s="151"/>
      <c r="AN104" s="152"/>
    </row>
    <row r="105" spans="1:40" ht="16.5" x14ac:dyDescent="0.35">
      <c r="A105" s="155">
        <v>45501</v>
      </c>
      <c r="B105">
        <v>527</v>
      </c>
      <c r="C105" s="32">
        <v>3.5299999999999998E-2</v>
      </c>
      <c r="D105">
        <v>25150</v>
      </c>
      <c r="E105" s="32">
        <v>-3.27E-2</v>
      </c>
      <c r="F105">
        <v>53</v>
      </c>
      <c r="G105" s="32">
        <v>0.06</v>
      </c>
      <c r="H105">
        <v>61.98</v>
      </c>
      <c r="I105" s="32">
        <v>6.3299999999999995E-2</v>
      </c>
      <c r="J105">
        <v>12.48</v>
      </c>
      <c r="K105" s="32">
        <v>-7.5600000000000001E-2</v>
      </c>
      <c r="L105">
        <v>1043.8</v>
      </c>
      <c r="M105" s="32">
        <v>-3.6700000000000003E-2</v>
      </c>
      <c r="N105">
        <v>24717.7</v>
      </c>
      <c r="O105" s="32">
        <v>-4.7000000000000002E-3</v>
      </c>
      <c r="P105">
        <v>16776.16</v>
      </c>
      <c r="Q105" s="32">
        <v>-3.3500000000000002E-2</v>
      </c>
      <c r="R105">
        <v>7288.17</v>
      </c>
      <c r="S105" s="32">
        <v>3.3E-3</v>
      </c>
      <c r="T105">
        <v>878.91</v>
      </c>
      <c r="U105" s="32">
        <v>-3.0599999999999999E-2</v>
      </c>
      <c r="V105">
        <v>779.33</v>
      </c>
      <c r="W105" s="32">
        <v>-2.29E-2</v>
      </c>
      <c r="X105" s="158">
        <v>23259.45</v>
      </c>
      <c r="Y105" s="32">
        <v>-1.4E-3</v>
      </c>
      <c r="Z105" s="32"/>
      <c r="AA105" s="32"/>
      <c r="AB105" s="32"/>
      <c r="AC105" s="32"/>
      <c r="AD105" s="32"/>
      <c r="AE105" s="32"/>
      <c r="AF105" s="32"/>
      <c r="AH105" s="159"/>
      <c r="AI105" s="149"/>
      <c r="AJ105" s="150"/>
      <c r="AK105" s="150"/>
      <c r="AL105" s="150"/>
      <c r="AM105" s="151"/>
      <c r="AN105" s="152"/>
    </row>
    <row r="106" spans="1:40" ht="16.5" x14ac:dyDescent="0.35">
      <c r="A106" s="155">
        <v>45494</v>
      </c>
      <c r="B106">
        <v>509.05</v>
      </c>
      <c r="C106" s="32">
        <v>0.1096</v>
      </c>
      <c r="D106">
        <v>26000</v>
      </c>
      <c r="E106" s="32">
        <v>-6.3100000000000003E-2</v>
      </c>
      <c r="F106">
        <v>50</v>
      </c>
      <c r="G106" s="32">
        <v>0</v>
      </c>
      <c r="H106">
        <v>58.29</v>
      </c>
      <c r="I106" s="32">
        <v>-1.7500000000000002E-2</v>
      </c>
      <c r="J106">
        <v>13.5</v>
      </c>
      <c r="K106" s="32">
        <v>4.2500000000000003E-2</v>
      </c>
      <c r="L106">
        <v>1083.5999999999999</v>
      </c>
      <c r="M106" s="32">
        <v>-2.92E-2</v>
      </c>
      <c r="N106">
        <v>24834.85</v>
      </c>
      <c r="O106" s="32">
        <v>1.24E-2</v>
      </c>
      <c r="P106">
        <v>17357.88</v>
      </c>
      <c r="Q106" s="32">
        <v>-2.0799999999999999E-2</v>
      </c>
      <c r="R106">
        <v>7264.45</v>
      </c>
      <c r="S106" s="32">
        <v>-8.6E-3</v>
      </c>
      <c r="T106">
        <v>906.64</v>
      </c>
      <c r="U106" s="32">
        <v>-6.9999999999999999E-4</v>
      </c>
      <c r="V106">
        <v>797.56</v>
      </c>
      <c r="W106" s="32">
        <v>-3.7600000000000001E-2</v>
      </c>
      <c r="X106" s="158">
        <v>23292.05</v>
      </c>
      <c r="Y106" s="32">
        <v>1.9199999999999998E-2</v>
      </c>
      <c r="Z106" s="32"/>
      <c r="AA106" s="32"/>
      <c r="AB106" s="32"/>
      <c r="AC106" s="32"/>
      <c r="AD106" s="32"/>
      <c r="AE106" s="32"/>
      <c r="AF106" s="32"/>
      <c r="AH106" s="159"/>
      <c r="AI106" s="153"/>
      <c r="AJ106" s="150"/>
      <c r="AK106" s="150"/>
      <c r="AL106" s="150"/>
      <c r="AM106" s="151"/>
      <c r="AN106" s="154"/>
    </row>
    <row r="107" spans="1:40" ht="16.5" x14ac:dyDescent="0.35">
      <c r="A107" s="155">
        <v>45487</v>
      </c>
      <c r="B107">
        <v>458.75</v>
      </c>
      <c r="C107" s="32">
        <v>-1.55E-2</v>
      </c>
      <c r="D107">
        <v>27750</v>
      </c>
      <c r="E107" s="32">
        <v>-3.6499999999999998E-2</v>
      </c>
      <c r="F107">
        <v>50</v>
      </c>
      <c r="G107" s="32">
        <v>0</v>
      </c>
      <c r="H107">
        <v>59.33</v>
      </c>
      <c r="I107" s="32">
        <v>-1.5599999999999999E-2</v>
      </c>
      <c r="J107">
        <v>12.95</v>
      </c>
      <c r="K107" s="32">
        <v>-3.8600000000000002E-2</v>
      </c>
      <c r="L107">
        <v>1116.2</v>
      </c>
      <c r="M107" s="32">
        <v>-3.61E-2</v>
      </c>
      <c r="N107">
        <v>24530.9</v>
      </c>
      <c r="O107" s="32">
        <v>1.1999999999999999E-3</v>
      </c>
      <c r="P107">
        <v>17726.939999999999</v>
      </c>
      <c r="Q107" s="32">
        <v>-3.6499999999999998E-2</v>
      </c>
      <c r="R107">
        <v>7327.58</v>
      </c>
      <c r="S107" s="32">
        <v>1.0200000000000001E-2</v>
      </c>
      <c r="T107">
        <v>907.31</v>
      </c>
      <c r="U107" s="32">
        <v>-3.9800000000000002E-2</v>
      </c>
      <c r="V107">
        <v>828.72</v>
      </c>
      <c r="W107" s="32">
        <v>-2.5499999999999998E-2</v>
      </c>
      <c r="X107" s="158">
        <v>22853.599999999999</v>
      </c>
      <c r="Y107" s="32">
        <v>-1.0500000000000001E-2</v>
      </c>
      <c r="Z107" s="32"/>
      <c r="AA107" s="32"/>
      <c r="AB107" s="32"/>
      <c r="AC107" s="32"/>
      <c r="AD107" s="32"/>
      <c r="AE107" s="32"/>
      <c r="AF107" s="32"/>
      <c r="AH107" s="159"/>
      <c r="AI107" s="149"/>
      <c r="AJ107" s="150"/>
      <c r="AK107" s="150"/>
      <c r="AL107" s="150"/>
      <c r="AM107" s="151"/>
      <c r="AN107" s="152"/>
    </row>
    <row r="108" spans="1:40" ht="16.5" x14ac:dyDescent="0.35">
      <c r="A108" s="155">
        <v>45480</v>
      </c>
      <c r="B108">
        <v>465.95</v>
      </c>
      <c r="C108" s="32">
        <v>6.7299999999999999E-2</v>
      </c>
      <c r="D108">
        <v>28800</v>
      </c>
      <c r="E108" s="32">
        <v>6.8599999999999994E-2</v>
      </c>
      <c r="F108">
        <v>50</v>
      </c>
      <c r="G108" s="32">
        <v>0</v>
      </c>
      <c r="H108">
        <v>60.27</v>
      </c>
      <c r="I108" s="32">
        <v>8.5000000000000006E-3</v>
      </c>
      <c r="J108">
        <v>13.47</v>
      </c>
      <c r="K108" s="32">
        <v>9.1600000000000001E-2</v>
      </c>
      <c r="L108">
        <v>1158</v>
      </c>
      <c r="M108" s="32">
        <v>1.7399999999999999E-2</v>
      </c>
      <c r="N108">
        <v>24502.15</v>
      </c>
      <c r="O108" s="32">
        <v>7.3000000000000001E-3</v>
      </c>
      <c r="P108">
        <v>18398.45</v>
      </c>
      <c r="Q108" s="32">
        <v>2.5000000000000001E-3</v>
      </c>
      <c r="R108">
        <v>7253.37</v>
      </c>
      <c r="S108" s="32">
        <v>2.69E-2</v>
      </c>
      <c r="T108">
        <v>944.91</v>
      </c>
      <c r="U108" s="32">
        <v>1.1900000000000001E-2</v>
      </c>
      <c r="V108">
        <v>850.37</v>
      </c>
      <c r="W108" s="32">
        <v>3.3999999999999998E-3</v>
      </c>
      <c r="X108" s="158">
        <v>23095.45</v>
      </c>
      <c r="Y108" s="32">
        <v>4.7000000000000002E-3</v>
      </c>
      <c r="Z108" s="32"/>
      <c r="AA108" s="32"/>
      <c r="AB108" s="32"/>
      <c r="AC108" s="32"/>
      <c r="AD108" s="32"/>
      <c r="AE108" s="32"/>
      <c r="AF108" s="32"/>
      <c r="AH108" s="159"/>
      <c r="AI108" s="153"/>
      <c r="AJ108" s="150"/>
      <c r="AK108" s="150"/>
      <c r="AL108" s="150"/>
      <c r="AM108" s="151"/>
      <c r="AN108" s="154"/>
    </row>
    <row r="109" spans="1:40" ht="16.5" x14ac:dyDescent="0.35">
      <c r="A109" s="155">
        <v>45473</v>
      </c>
      <c r="B109">
        <v>436.55</v>
      </c>
      <c r="C109" s="32">
        <v>8.6599999999999996E-2</v>
      </c>
      <c r="D109">
        <v>26950</v>
      </c>
      <c r="E109" s="32">
        <v>1.9E-3</v>
      </c>
      <c r="F109">
        <v>50</v>
      </c>
      <c r="G109" s="32">
        <v>0</v>
      </c>
      <c r="H109">
        <v>59.76</v>
      </c>
      <c r="I109" s="32">
        <v>2.98E-2</v>
      </c>
      <c r="J109">
        <v>12.34</v>
      </c>
      <c r="K109" s="32">
        <v>2.92E-2</v>
      </c>
      <c r="L109">
        <v>1138.2</v>
      </c>
      <c r="M109" s="32">
        <v>2.2499999999999999E-2</v>
      </c>
      <c r="N109">
        <v>24323.85</v>
      </c>
      <c r="O109" s="32">
        <v>1.2999999999999999E-2</v>
      </c>
      <c r="P109">
        <v>18352.759999999998</v>
      </c>
      <c r="Q109" s="32">
        <v>3.5000000000000003E-2</v>
      </c>
      <c r="R109">
        <v>7063.58</v>
      </c>
      <c r="S109" s="32">
        <v>2.6700000000000002E-2</v>
      </c>
      <c r="T109">
        <v>933.76</v>
      </c>
      <c r="U109" s="32">
        <v>1.0699999999999999E-2</v>
      </c>
      <c r="V109">
        <v>847.49</v>
      </c>
      <c r="W109" s="32">
        <v>8.3999999999999995E-3</v>
      </c>
      <c r="X109" s="158">
        <v>22987.65</v>
      </c>
      <c r="Y109" s="32">
        <v>1.9E-2</v>
      </c>
      <c r="Z109" s="32"/>
      <c r="AA109" s="32"/>
      <c r="AB109" s="32"/>
      <c r="AC109" s="32"/>
      <c r="AD109" s="32"/>
      <c r="AE109" s="32"/>
      <c r="AF109" s="32"/>
      <c r="AH109" s="159"/>
      <c r="AI109" s="153"/>
      <c r="AJ109" s="150"/>
      <c r="AK109" s="150"/>
      <c r="AL109" s="150"/>
      <c r="AM109" s="151"/>
      <c r="AN109" s="154"/>
    </row>
    <row r="110" spans="1:40" ht="16.5" x14ac:dyDescent="0.35">
      <c r="A110" s="155">
        <v>45466</v>
      </c>
      <c r="B110">
        <v>401.75</v>
      </c>
      <c r="C110" s="32">
        <v>-2.29E-2</v>
      </c>
      <c r="D110">
        <v>26900</v>
      </c>
      <c r="E110" s="32">
        <v>-4.4400000000000002E-2</v>
      </c>
      <c r="F110">
        <v>50</v>
      </c>
      <c r="G110" s="32">
        <v>-3.85E-2</v>
      </c>
      <c r="H110">
        <v>58.03</v>
      </c>
      <c r="I110" s="32">
        <v>-4.2599999999999999E-2</v>
      </c>
      <c r="J110">
        <v>11.99</v>
      </c>
      <c r="K110" s="32">
        <v>2.3E-2</v>
      </c>
      <c r="L110">
        <v>1113.2</v>
      </c>
      <c r="M110" s="32">
        <v>-1.61E-2</v>
      </c>
      <c r="N110">
        <v>24010.6</v>
      </c>
      <c r="O110" s="32">
        <v>2.1700000000000001E-2</v>
      </c>
      <c r="P110">
        <v>17732.599999999999</v>
      </c>
      <c r="Q110" s="32">
        <v>2.3999999999999998E-3</v>
      </c>
      <c r="R110">
        <v>6879.98</v>
      </c>
      <c r="S110" s="32">
        <v>2.1600000000000001E-2</v>
      </c>
      <c r="T110">
        <v>923.85</v>
      </c>
      <c r="U110" s="32">
        <v>-1.5E-3</v>
      </c>
      <c r="V110">
        <v>840.44</v>
      </c>
      <c r="W110" s="32">
        <v>-1.43E-2</v>
      </c>
      <c r="X110" s="158">
        <v>22559.7</v>
      </c>
      <c r="Y110" s="32">
        <v>1.4500000000000001E-2</v>
      </c>
      <c r="Z110" s="32"/>
      <c r="AA110" s="32"/>
      <c r="AB110" s="32"/>
      <c r="AC110" s="32"/>
      <c r="AD110" s="32"/>
      <c r="AE110" s="32"/>
      <c r="AF110" s="32"/>
      <c r="AH110" s="159"/>
      <c r="AI110" s="153"/>
      <c r="AJ110" s="150"/>
      <c r="AK110" s="150"/>
      <c r="AL110" s="150"/>
      <c r="AM110" s="151"/>
      <c r="AN110" s="154"/>
    </row>
    <row r="111" spans="1:40" ht="16.5" x14ac:dyDescent="0.35">
      <c r="A111" s="155">
        <v>45459</v>
      </c>
      <c r="B111">
        <v>411.15</v>
      </c>
      <c r="C111" s="32">
        <v>-3.27E-2</v>
      </c>
      <c r="D111">
        <v>28150</v>
      </c>
      <c r="E111" s="32">
        <v>-1.7500000000000002E-2</v>
      </c>
      <c r="F111">
        <v>52</v>
      </c>
      <c r="G111" s="32">
        <v>-0.10340000000000001</v>
      </c>
      <c r="H111">
        <v>60.61</v>
      </c>
      <c r="I111" s="32">
        <v>-4.0000000000000002E-4</v>
      </c>
      <c r="J111">
        <v>11.72</v>
      </c>
      <c r="K111" s="32">
        <v>-3.4599999999999999E-2</v>
      </c>
      <c r="L111">
        <v>1131.4000000000001</v>
      </c>
      <c r="M111" s="32">
        <v>-5.5300000000000002E-2</v>
      </c>
      <c r="N111">
        <v>23501.1</v>
      </c>
      <c r="O111" s="32">
        <v>1.5E-3</v>
      </c>
      <c r="P111">
        <v>17689.36</v>
      </c>
      <c r="Q111" s="32">
        <v>0</v>
      </c>
      <c r="R111">
        <v>6734.83</v>
      </c>
      <c r="S111" s="32">
        <v>-2.3599999999999999E-2</v>
      </c>
      <c r="T111">
        <v>925.23</v>
      </c>
      <c r="U111" s="32">
        <v>7.1000000000000004E-3</v>
      </c>
      <c r="V111">
        <v>852.67</v>
      </c>
      <c r="W111" s="32">
        <v>-1.0999999999999999E-2</v>
      </c>
      <c r="X111" s="158">
        <v>22236.2</v>
      </c>
      <c r="Y111" s="32">
        <v>1E-3</v>
      </c>
      <c r="Z111" s="32"/>
      <c r="AA111" s="32"/>
      <c r="AB111" s="32"/>
      <c r="AC111" s="32"/>
      <c r="AD111" s="32"/>
      <c r="AE111" s="32"/>
      <c r="AF111" s="32"/>
      <c r="AH111" s="159"/>
      <c r="AI111" s="153"/>
      <c r="AJ111" s="150"/>
      <c r="AK111" s="150"/>
      <c r="AL111" s="150"/>
      <c r="AM111" s="151"/>
      <c r="AN111" s="154"/>
    </row>
    <row r="112" spans="1:40" ht="16.5" x14ac:dyDescent="0.35">
      <c r="A112" s="155">
        <v>45452</v>
      </c>
      <c r="B112">
        <v>425.05</v>
      </c>
      <c r="C112" s="32">
        <v>0.1147</v>
      </c>
      <c r="D112">
        <v>28650</v>
      </c>
      <c r="E112" s="32">
        <v>-6.3700000000000007E-2</v>
      </c>
      <c r="F112">
        <v>58</v>
      </c>
      <c r="G112" s="32">
        <v>-0.1077</v>
      </c>
      <c r="H112">
        <v>60.63</v>
      </c>
      <c r="I112" s="32">
        <v>-9.9000000000000005E-2</v>
      </c>
      <c r="J112">
        <v>12.14</v>
      </c>
      <c r="K112" s="32">
        <v>-8.3099999999999993E-2</v>
      </c>
      <c r="L112">
        <v>1197.5999999999999</v>
      </c>
      <c r="M112" s="32">
        <v>-2.7799999999999998E-2</v>
      </c>
      <c r="N112">
        <v>23465.599999999999</v>
      </c>
      <c r="O112" s="32">
        <v>7.4999999999999997E-3</v>
      </c>
      <c r="P112">
        <v>17688.88</v>
      </c>
      <c r="Q112" s="32">
        <v>3.2399999999999998E-2</v>
      </c>
      <c r="R112">
        <v>6897.95</v>
      </c>
      <c r="S112" s="32">
        <v>-1.04E-2</v>
      </c>
      <c r="T112">
        <v>918.72</v>
      </c>
      <c r="U112" s="32">
        <v>-5.4000000000000003E-3</v>
      </c>
      <c r="V112">
        <v>862.19</v>
      </c>
      <c r="W112" s="32">
        <v>-4.5999999999999999E-3</v>
      </c>
      <c r="X112" s="158">
        <v>22214.3</v>
      </c>
      <c r="Y112" s="32">
        <v>2.07E-2</v>
      </c>
      <c r="Z112" s="32"/>
      <c r="AA112" s="32"/>
      <c r="AB112" s="32"/>
      <c r="AC112" s="32"/>
      <c r="AD112" s="32"/>
      <c r="AE112" s="32"/>
      <c r="AF112" s="32"/>
      <c r="AH112" s="159"/>
      <c r="AI112" s="153"/>
      <c r="AJ112" s="150"/>
      <c r="AK112" s="150"/>
      <c r="AL112" s="150"/>
      <c r="AM112" s="151"/>
      <c r="AN112" s="154"/>
    </row>
    <row r="113" spans="1:40" ht="16.5" x14ac:dyDescent="0.35">
      <c r="A113" s="155">
        <v>45445</v>
      </c>
      <c r="B113">
        <v>381.3</v>
      </c>
      <c r="C113" s="32">
        <v>5.7000000000000002E-2</v>
      </c>
      <c r="D113">
        <v>30600</v>
      </c>
      <c r="E113" s="32">
        <v>-1.29E-2</v>
      </c>
      <c r="F113">
        <v>65</v>
      </c>
      <c r="G113" s="32">
        <v>-1.52E-2</v>
      </c>
      <c r="H113">
        <v>67.3</v>
      </c>
      <c r="I113" s="32">
        <v>6.8400000000000002E-2</v>
      </c>
      <c r="J113">
        <v>13.24</v>
      </c>
      <c r="K113" s="32">
        <v>-4.3400000000000001E-2</v>
      </c>
      <c r="L113">
        <v>1231.8</v>
      </c>
      <c r="M113" s="32">
        <v>3.9699999999999999E-2</v>
      </c>
      <c r="N113">
        <v>23290.15</v>
      </c>
      <c r="O113" s="32">
        <v>3.3700000000000001E-2</v>
      </c>
      <c r="P113">
        <v>17133.13</v>
      </c>
      <c r="Q113" s="32">
        <v>2.3800000000000002E-2</v>
      </c>
      <c r="R113">
        <v>6970.74</v>
      </c>
      <c r="S113" s="32">
        <v>-3.4700000000000002E-2</v>
      </c>
      <c r="T113">
        <v>923.71</v>
      </c>
      <c r="U113" s="32">
        <v>2.2200000000000001E-2</v>
      </c>
      <c r="V113">
        <v>866.18</v>
      </c>
      <c r="W113" s="32">
        <v>3.1199999999999999E-2</v>
      </c>
      <c r="X113" s="158">
        <v>21764.15</v>
      </c>
      <c r="Y113" s="32">
        <v>3.1300000000000001E-2</v>
      </c>
      <c r="Z113" s="32"/>
      <c r="AA113" s="32"/>
      <c r="AB113" s="32"/>
      <c r="AC113" s="32"/>
      <c r="AD113" s="32"/>
      <c r="AE113" s="32"/>
      <c r="AF113" s="32"/>
      <c r="AH113" s="159"/>
      <c r="AI113" s="153"/>
      <c r="AJ113" s="150"/>
      <c r="AK113" s="150"/>
      <c r="AL113" s="150"/>
      <c r="AM113" s="151"/>
      <c r="AN113" s="154"/>
    </row>
    <row r="114" spans="1:40" ht="16.5" x14ac:dyDescent="0.35">
      <c r="A114" s="155">
        <v>45438</v>
      </c>
      <c r="B114">
        <v>360.75</v>
      </c>
      <c r="C114" s="32">
        <v>5.8099999999999999E-2</v>
      </c>
      <c r="D114">
        <v>31000</v>
      </c>
      <c r="E114" s="32">
        <v>-3.5799999999999998E-2</v>
      </c>
      <c r="F114">
        <v>66</v>
      </c>
      <c r="G114" s="32">
        <v>0</v>
      </c>
      <c r="H114">
        <v>62.99</v>
      </c>
      <c r="I114" s="32">
        <v>2.1899999999999999E-2</v>
      </c>
      <c r="J114">
        <v>13.84</v>
      </c>
      <c r="K114" s="32">
        <v>-3.15E-2</v>
      </c>
      <c r="L114">
        <v>1184.8</v>
      </c>
      <c r="M114" s="32">
        <v>-2.5999999999999999E-2</v>
      </c>
      <c r="N114">
        <v>22530.7</v>
      </c>
      <c r="O114" s="32">
        <v>-1.8599999999999998E-2</v>
      </c>
      <c r="P114">
        <v>16735.02</v>
      </c>
      <c r="Q114" s="32">
        <v>-1.0999999999999999E-2</v>
      </c>
      <c r="R114">
        <v>7221.04</v>
      </c>
      <c r="S114" s="32">
        <v>-1.3100000000000001E-2</v>
      </c>
      <c r="T114">
        <v>903.61</v>
      </c>
      <c r="U114" s="32">
        <v>-1.2699999999999999E-2</v>
      </c>
      <c r="V114">
        <v>839.98</v>
      </c>
      <c r="W114" s="32">
        <v>6.9999999999999999E-4</v>
      </c>
      <c r="X114" s="158">
        <v>21103.3</v>
      </c>
      <c r="Y114" s="32">
        <v>-1.77E-2</v>
      </c>
      <c r="Z114" s="32"/>
      <c r="AA114" s="32"/>
      <c r="AB114" s="32"/>
      <c r="AC114" s="32"/>
      <c r="AD114" s="32"/>
      <c r="AE114" s="32"/>
      <c r="AF114" s="32"/>
      <c r="AH114" s="159"/>
      <c r="AI114" s="149"/>
      <c r="AJ114" s="150"/>
      <c r="AK114" s="150"/>
      <c r="AL114" s="150"/>
      <c r="AM114" s="151"/>
      <c r="AN114" s="152"/>
    </row>
    <row r="115" spans="1:40" ht="16.5" x14ac:dyDescent="0.35">
      <c r="A115" s="155">
        <v>45431</v>
      </c>
      <c r="B115">
        <v>340.95</v>
      </c>
      <c r="C115" s="32">
        <v>-3.8E-3</v>
      </c>
      <c r="D115">
        <v>32150</v>
      </c>
      <c r="E115" s="32">
        <v>-6.6799999999999998E-2</v>
      </c>
      <c r="F115">
        <v>66</v>
      </c>
      <c r="G115" s="32">
        <v>-1.49E-2</v>
      </c>
      <c r="H115">
        <v>61.64</v>
      </c>
      <c r="I115" s="32">
        <v>-4.3999999999999997E-2</v>
      </c>
      <c r="J115">
        <v>14.29</v>
      </c>
      <c r="K115" s="32">
        <v>-2.3199999999999998E-2</v>
      </c>
      <c r="L115">
        <v>1216.4000000000001</v>
      </c>
      <c r="M115" s="32">
        <v>-0.02</v>
      </c>
      <c r="N115">
        <v>22957.1</v>
      </c>
      <c r="O115" s="32">
        <v>2.1899999999999999E-2</v>
      </c>
      <c r="P115">
        <v>16920.79</v>
      </c>
      <c r="Q115" s="32">
        <v>1.41E-2</v>
      </c>
      <c r="R115">
        <v>7317.24</v>
      </c>
      <c r="S115" s="32">
        <v>3.2199999999999999E-2</v>
      </c>
      <c r="T115">
        <v>915.21</v>
      </c>
      <c r="U115" s="32">
        <v>2.0999999999999999E-3</v>
      </c>
      <c r="V115">
        <v>839.41</v>
      </c>
      <c r="W115" s="32">
        <v>-1.83E-2</v>
      </c>
      <c r="X115" s="158">
        <v>21483.75</v>
      </c>
      <c r="Y115" s="32">
        <v>1.9900000000000001E-2</v>
      </c>
      <c r="Z115" s="32"/>
      <c r="AA115" s="32"/>
      <c r="AB115" s="32"/>
      <c r="AC115" s="32"/>
      <c r="AD115" s="32"/>
      <c r="AE115" s="32"/>
      <c r="AF115" s="32"/>
      <c r="AH115" s="159"/>
      <c r="AI115" s="153"/>
      <c r="AJ115" s="150"/>
      <c r="AK115" s="150"/>
      <c r="AL115" s="150"/>
      <c r="AM115" s="151"/>
      <c r="AN115" s="154"/>
    </row>
    <row r="116" spans="1:40" ht="16.5" x14ac:dyDescent="0.35">
      <c r="A116" s="155">
        <v>45424</v>
      </c>
      <c r="B116">
        <v>342.25</v>
      </c>
      <c r="C116" s="32">
        <v>-2.12E-2</v>
      </c>
      <c r="D116">
        <v>34450</v>
      </c>
      <c r="E116" s="32">
        <v>-3.9100000000000003E-2</v>
      </c>
      <c r="F116">
        <v>67</v>
      </c>
      <c r="G116" s="32">
        <v>1.52E-2</v>
      </c>
      <c r="H116">
        <v>64.48</v>
      </c>
      <c r="I116" s="32">
        <v>2.46E-2</v>
      </c>
      <c r="J116">
        <v>14.63</v>
      </c>
      <c r="K116" s="32">
        <v>-0.1187</v>
      </c>
      <c r="L116">
        <v>1241.2</v>
      </c>
      <c r="M116" s="32">
        <v>-4.3E-3</v>
      </c>
      <c r="N116">
        <v>22466.1</v>
      </c>
      <c r="O116" s="32">
        <v>1.8599999999999998E-2</v>
      </c>
      <c r="P116">
        <v>16685.97</v>
      </c>
      <c r="Q116" s="32">
        <v>2.1100000000000001E-2</v>
      </c>
      <c r="R116">
        <v>7088.79</v>
      </c>
      <c r="S116" s="32">
        <v>-6.4000000000000003E-3</v>
      </c>
      <c r="T116">
        <v>913.25</v>
      </c>
      <c r="U116" s="32">
        <v>2.8999999999999998E-3</v>
      </c>
      <c r="V116">
        <v>855.06</v>
      </c>
      <c r="W116" s="32">
        <v>-1.0500000000000001E-2</v>
      </c>
      <c r="X116" s="158">
        <v>21064.55</v>
      </c>
      <c r="Y116" s="32">
        <v>2.9100000000000001E-2</v>
      </c>
      <c r="Z116" s="32"/>
      <c r="AA116" s="32"/>
      <c r="AB116" s="32"/>
      <c r="AC116" s="32"/>
      <c r="AD116" s="32"/>
      <c r="AE116" s="32"/>
      <c r="AF116" s="32"/>
      <c r="AH116" s="159"/>
      <c r="AI116" s="153"/>
      <c r="AJ116" s="150"/>
      <c r="AK116" s="150"/>
      <c r="AL116" s="150"/>
      <c r="AM116" s="151"/>
      <c r="AN116" s="154"/>
    </row>
    <row r="117" spans="1:40" ht="16.5" x14ac:dyDescent="0.35">
      <c r="A117" s="155">
        <v>45417</v>
      </c>
      <c r="B117">
        <v>349.65</v>
      </c>
      <c r="C117" s="32">
        <v>-5.4699999999999999E-2</v>
      </c>
      <c r="D117">
        <v>35850</v>
      </c>
      <c r="E117" s="32">
        <v>1.4E-3</v>
      </c>
      <c r="F117">
        <v>66</v>
      </c>
      <c r="G117" s="32">
        <v>8.2000000000000003E-2</v>
      </c>
      <c r="H117">
        <v>62.93</v>
      </c>
      <c r="I117" s="32">
        <v>-4.2200000000000001E-2</v>
      </c>
      <c r="J117">
        <v>16.600000000000001</v>
      </c>
      <c r="K117" s="32">
        <v>-7.7999999999999996E-3</v>
      </c>
      <c r="L117">
        <v>1246.5999999999999</v>
      </c>
      <c r="M117" s="32">
        <v>7.9500000000000001E-2</v>
      </c>
      <c r="N117">
        <v>22055.200000000001</v>
      </c>
      <c r="O117" s="32">
        <v>-1.8700000000000001E-2</v>
      </c>
      <c r="P117">
        <v>16340.87</v>
      </c>
      <c r="Q117" s="32">
        <v>1.14E-2</v>
      </c>
      <c r="R117">
        <v>7134.72</v>
      </c>
      <c r="S117" s="32">
        <v>1.4E-2</v>
      </c>
      <c r="T117">
        <v>910.59</v>
      </c>
      <c r="U117" s="32">
        <v>2.6100000000000002E-2</v>
      </c>
      <c r="V117">
        <v>864.16</v>
      </c>
      <c r="W117" s="32">
        <v>-1.6999999999999999E-3</v>
      </c>
      <c r="X117" s="158">
        <v>20469.099999999999</v>
      </c>
      <c r="Y117" s="32">
        <v>-2.3400000000000001E-2</v>
      </c>
      <c r="Z117" s="32"/>
      <c r="AA117" s="32"/>
      <c r="AB117" s="32"/>
      <c r="AC117" s="32"/>
      <c r="AD117" s="32"/>
      <c r="AE117" s="32"/>
      <c r="AF117" s="32"/>
      <c r="AH117" s="159"/>
      <c r="AI117" s="149"/>
      <c r="AJ117" s="150"/>
      <c r="AK117" s="150"/>
      <c r="AL117" s="150"/>
      <c r="AM117" s="151"/>
      <c r="AN117" s="152"/>
    </row>
    <row r="118" spans="1:40" ht="16.5" x14ac:dyDescent="0.35">
      <c r="A118" s="155">
        <v>45410</v>
      </c>
      <c r="B118">
        <v>369.9</v>
      </c>
      <c r="C118" s="32">
        <v>-1.8599999999999998E-2</v>
      </c>
      <c r="D118">
        <v>35800</v>
      </c>
      <c r="E118" s="32">
        <v>6.0699999999999997E-2</v>
      </c>
      <c r="F118">
        <v>61</v>
      </c>
      <c r="G118" s="32">
        <v>3.39E-2</v>
      </c>
      <c r="H118">
        <v>65.7</v>
      </c>
      <c r="I118" s="32">
        <v>-3.8999999999999998E-3</v>
      </c>
      <c r="J118">
        <v>16.73</v>
      </c>
      <c r="K118" s="32">
        <v>2.3199999999999998E-2</v>
      </c>
      <c r="L118">
        <v>1154.8</v>
      </c>
      <c r="M118" s="32">
        <v>-2.1000000000000001E-2</v>
      </c>
      <c r="N118">
        <v>22475.85</v>
      </c>
      <c r="O118" s="32">
        <v>2.5000000000000001E-3</v>
      </c>
      <c r="P118">
        <v>16156.33</v>
      </c>
      <c r="Q118" s="32">
        <v>1.43E-2</v>
      </c>
      <c r="R118">
        <v>7036.08</v>
      </c>
      <c r="S118" s="32">
        <v>-7.1999999999999998E-3</v>
      </c>
      <c r="T118">
        <v>887.44</v>
      </c>
      <c r="U118" s="32">
        <v>5.4000000000000003E-3</v>
      </c>
      <c r="V118">
        <v>865.59</v>
      </c>
      <c r="W118" s="32">
        <v>1.0200000000000001E-2</v>
      </c>
      <c r="X118" s="158">
        <v>20959.55</v>
      </c>
      <c r="Y118" s="32">
        <v>5.7999999999999996E-3</v>
      </c>
      <c r="Z118" s="32"/>
      <c r="AA118" s="32"/>
      <c r="AB118" s="32"/>
      <c r="AC118" s="32"/>
      <c r="AD118" s="32"/>
      <c r="AE118" s="32"/>
      <c r="AF118" s="32"/>
      <c r="AH118" s="159"/>
      <c r="AI118" s="153"/>
      <c r="AJ118" s="150"/>
      <c r="AK118" s="150"/>
      <c r="AL118" s="150"/>
      <c r="AM118" s="151"/>
      <c r="AN118" s="154"/>
    </row>
    <row r="119" spans="1:40" ht="16.5" x14ac:dyDescent="0.35">
      <c r="A119" s="155">
        <v>45403</v>
      </c>
      <c r="B119">
        <v>376.9</v>
      </c>
      <c r="C119" s="32">
        <v>-2.5000000000000001E-3</v>
      </c>
      <c r="D119">
        <v>33750</v>
      </c>
      <c r="E119" s="32">
        <v>1.66E-2</v>
      </c>
      <c r="F119">
        <v>59</v>
      </c>
      <c r="G119" s="32">
        <v>-0.13239999999999999</v>
      </c>
      <c r="H119">
        <v>65.959999999999994</v>
      </c>
      <c r="I119" s="32">
        <v>5.8599999999999999E-2</v>
      </c>
      <c r="J119">
        <v>16.350000000000001</v>
      </c>
      <c r="K119" s="32">
        <v>6.8599999999999994E-2</v>
      </c>
      <c r="L119">
        <v>1179.5999999999999</v>
      </c>
      <c r="M119" s="32">
        <v>-0.15690000000000001</v>
      </c>
      <c r="N119">
        <v>22419.95</v>
      </c>
      <c r="O119" s="32">
        <v>1.23E-2</v>
      </c>
      <c r="P119">
        <v>15927.9</v>
      </c>
      <c r="Q119" s="32">
        <v>4.2299999999999997E-2</v>
      </c>
      <c r="R119">
        <v>7087.32</v>
      </c>
      <c r="S119" s="32">
        <v>-2.7400000000000001E-2</v>
      </c>
      <c r="T119">
        <v>882.63</v>
      </c>
      <c r="U119" s="32">
        <v>2.63E-2</v>
      </c>
      <c r="V119">
        <v>856.82</v>
      </c>
      <c r="W119" s="32">
        <v>1.77E-2</v>
      </c>
      <c r="X119" s="158">
        <v>20839.349999999999</v>
      </c>
      <c r="Y119" s="32">
        <v>2.23E-2</v>
      </c>
      <c r="Z119" s="32"/>
      <c r="AA119" s="32"/>
      <c r="AB119" s="32"/>
      <c r="AC119" s="32"/>
      <c r="AD119" s="32"/>
      <c r="AE119" s="32"/>
      <c r="AF119" s="32"/>
      <c r="AH119" s="159"/>
      <c r="AI119" s="153"/>
      <c r="AJ119" s="150"/>
      <c r="AK119" s="150"/>
      <c r="AL119" s="150"/>
      <c r="AM119" s="151"/>
      <c r="AN119" s="154"/>
    </row>
    <row r="120" spans="1:40" ht="16.5" x14ac:dyDescent="0.35">
      <c r="A120" s="155">
        <v>45396</v>
      </c>
      <c r="B120">
        <v>377.85</v>
      </c>
      <c r="C120" s="32">
        <v>-3.5099999999999999E-2</v>
      </c>
      <c r="D120">
        <v>33200</v>
      </c>
      <c r="E120" s="32">
        <v>-4.5999999999999999E-2</v>
      </c>
      <c r="F120">
        <v>68</v>
      </c>
      <c r="G120" s="32">
        <v>-1.4500000000000001E-2</v>
      </c>
      <c r="H120">
        <v>62.31</v>
      </c>
      <c r="I120" s="32">
        <v>-3.5299999999999998E-2</v>
      </c>
      <c r="J120">
        <v>15.3</v>
      </c>
      <c r="K120" s="32">
        <v>-5.0900000000000001E-2</v>
      </c>
      <c r="L120">
        <v>1399.2</v>
      </c>
      <c r="M120" s="32">
        <v>-1.5800000000000002E-2</v>
      </c>
      <c r="N120">
        <v>22147</v>
      </c>
      <c r="O120" s="32">
        <v>-1.6500000000000001E-2</v>
      </c>
      <c r="P120">
        <v>15282.01</v>
      </c>
      <c r="Q120" s="32">
        <v>-5.5199999999999999E-2</v>
      </c>
      <c r="R120">
        <v>7286.88</v>
      </c>
      <c r="S120" s="32">
        <v>-2.9999999999999997E-4</v>
      </c>
      <c r="T120">
        <v>860.01</v>
      </c>
      <c r="U120" s="32">
        <v>-2.6499999999999999E-2</v>
      </c>
      <c r="V120">
        <v>841.91</v>
      </c>
      <c r="W120" s="32">
        <v>-2.1600000000000001E-2</v>
      </c>
      <c r="X120" s="158">
        <v>20385.2</v>
      </c>
      <c r="Y120" s="32">
        <v>-1.7399999999999999E-2</v>
      </c>
      <c r="Z120" s="32"/>
      <c r="AA120" s="32"/>
      <c r="AB120" s="32"/>
      <c r="AC120" s="32"/>
      <c r="AD120" s="32"/>
      <c r="AE120" s="32"/>
      <c r="AF120" s="32"/>
      <c r="AH120" s="159"/>
      <c r="AI120" s="149"/>
      <c r="AJ120" s="150"/>
      <c r="AK120" s="150"/>
      <c r="AL120" s="150"/>
      <c r="AM120" s="151"/>
      <c r="AN120" s="152"/>
    </row>
    <row r="121" spans="1:40" ht="16.5" x14ac:dyDescent="0.35">
      <c r="A121" s="155">
        <v>45389</v>
      </c>
      <c r="B121">
        <v>391.6</v>
      </c>
      <c r="C121" s="32">
        <v>-6.2100000000000002E-2</v>
      </c>
      <c r="D121">
        <v>34800</v>
      </c>
      <c r="E121" s="32">
        <v>-5.1799999999999999E-2</v>
      </c>
      <c r="F121">
        <v>69</v>
      </c>
      <c r="G121" s="32">
        <v>1.47E-2</v>
      </c>
      <c r="H121">
        <v>64.59</v>
      </c>
      <c r="I121" s="32">
        <v>-8.6E-3</v>
      </c>
      <c r="J121">
        <v>16.12</v>
      </c>
      <c r="K121" s="32">
        <v>-4.2200000000000001E-2</v>
      </c>
      <c r="L121">
        <v>1421.6</v>
      </c>
      <c r="M121" s="32">
        <v>-4.4400000000000002E-2</v>
      </c>
      <c r="N121">
        <v>22519.4</v>
      </c>
      <c r="O121" s="32">
        <v>2.9999999999999997E-4</v>
      </c>
      <c r="P121">
        <v>16175.09</v>
      </c>
      <c r="Q121" s="32">
        <v>-4.4999999999999997E-3</v>
      </c>
      <c r="R121">
        <v>7288.81</v>
      </c>
      <c r="S121" s="32">
        <v>-8.3000000000000001E-3</v>
      </c>
      <c r="T121">
        <v>883.45</v>
      </c>
      <c r="U121" s="32">
        <v>3.2000000000000002E-3</v>
      </c>
      <c r="V121">
        <v>860.47</v>
      </c>
      <c r="W121" s="32">
        <v>-1.3599999999999999E-2</v>
      </c>
      <c r="X121" s="158">
        <v>20745.5</v>
      </c>
      <c r="Y121" s="32">
        <v>1.5E-3</v>
      </c>
      <c r="Z121" s="32"/>
      <c r="AA121" s="32"/>
      <c r="AB121" s="32"/>
      <c r="AC121" s="32"/>
      <c r="AD121" s="32"/>
      <c r="AE121" s="32"/>
      <c r="AF121" s="32"/>
      <c r="AH121" s="159"/>
      <c r="AI121" s="153"/>
      <c r="AJ121" s="150"/>
      <c r="AK121" s="150"/>
      <c r="AL121" s="150"/>
      <c r="AM121" s="151"/>
      <c r="AN121" s="154"/>
    </row>
    <row r="122" spans="1:40" ht="16.5" x14ac:dyDescent="0.35">
      <c r="A122" s="155">
        <v>45382</v>
      </c>
      <c r="B122">
        <v>417.55</v>
      </c>
      <c r="C122" s="32">
        <v>3.6999999999999998E-2</v>
      </c>
      <c r="D122">
        <v>36700</v>
      </c>
      <c r="E122" s="32">
        <v>-4.6800000000000001E-2</v>
      </c>
      <c r="F122">
        <v>68</v>
      </c>
      <c r="G122" s="32">
        <v>-4.2299999999999997E-2</v>
      </c>
      <c r="H122">
        <v>65.150000000000006</v>
      </c>
      <c r="I122" s="32">
        <v>-2.75E-2</v>
      </c>
      <c r="J122">
        <v>16.829999999999998</v>
      </c>
      <c r="K122" s="32">
        <v>1.32E-2</v>
      </c>
      <c r="L122">
        <v>1487.6</v>
      </c>
      <c r="M122" s="32">
        <v>-5.1299999999999998E-2</v>
      </c>
      <c r="N122">
        <v>22513.7</v>
      </c>
      <c r="O122" s="32">
        <v>8.3999999999999995E-3</v>
      </c>
      <c r="P122">
        <v>16248.52</v>
      </c>
      <c r="Q122" s="32">
        <v>-8.0000000000000002E-3</v>
      </c>
      <c r="R122">
        <v>7350.15</v>
      </c>
      <c r="S122" s="32">
        <v>3.0000000000000001E-3</v>
      </c>
      <c r="T122">
        <v>880.63</v>
      </c>
      <c r="U122" s="32">
        <v>-1.2999999999999999E-3</v>
      </c>
      <c r="V122">
        <v>872.29</v>
      </c>
      <c r="W122" s="32">
        <v>-3.6700000000000003E-2</v>
      </c>
      <c r="X122" s="158">
        <v>20715.099999999999</v>
      </c>
      <c r="Y122" s="32">
        <v>2.2700000000000001E-2</v>
      </c>
      <c r="Z122" s="32"/>
      <c r="AA122" s="32"/>
      <c r="AB122" s="32"/>
      <c r="AC122" s="32"/>
      <c r="AD122" s="32"/>
      <c r="AE122" s="32"/>
      <c r="AF122" s="32"/>
      <c r="AH122" s="159"/>
      <c r="AI122" s="153"/>
      <c r="AJ122" s="150"/>
      <c r="AK122" s="150"/>
      <c r="AL122" s="150"/>
      <c r="AM122" s="151"/>
      <c r="AN122" s="154"/>
    </row>
    <row r="123" spans="1:40" ht="16.5" x14ac:dyDescent="0.35">
      <c r="A123" s="155">
        <v>45375</v>
      </c>
      <c r="B123">
        <v>402.65</v>
      </c>
      <c r="C123" s="32">
        <v>6.9999999999999999E-4</v>
      </c>
      <c r="D123">
        <v>38500</v>
      </c>
      <c r="E123" s="32">
        <v>-2.2800000000000001E-2</v>
      </c>
      <c r="F123">
        <v>71</v>
      </c>
      <c r="G123" s="32">
        <v>1.43E-2</v>
      </c>
      <c r="H123">
        <v>66.989999999999995</v>
      </c>
      <c r="I123" s="32">
        <v>3.4299999999999997E-2</v>
      </c>
      <c r="J123">
        <v>16.61</v>
      </c>
      <c r="K123" s="32">
        <v>1.9E-2</v>
      </c>
      <c r="L123">
        <v>1568</v>
      </c>
      <c r="M123" s="32">
        <v>4.53E-2</v>
      </c>
      <c r="N123">
        <v>22326.9</v>
      </c>
      <c r="O123" s="32">
        <v>1.04E-2</v>
      </c>
      <c r="P123">
        <v>16379.46</v>
      </c>
      <c r="Q123" s="32">
        <v>-3.0000000000000001E-3</v>
      </c>
      <c r="R123">
        <v>7328.05</v>
      </c>
      <c r="S123" s="32">
        <v>-7.3000000000000001E-3</v>
      </c>
      <c r="T123">
        <v>881.78</v>
      </c>
      <c r="U123" s="32">
        <v>6.1999999999999998E-3</v>
      </c>
      <c r="V123">
        <v>905.5</v>
      </c>
      <c r="W123" s="32">
        <v>1.6999999999999999E-3</v>
      </c>
      <c r="X123" s="158">
        <v>20255.150000000001</v>
      </c>
      <c r="Y123" s="32">
        <v>1.2999999999999999E-2</v>
      </c>
      <c r="Z123" s="32"/>
      <c r="AA123" s="32"/>
      <c r="AB123" s="32"/>
      <c r="AC123" s="32"/>
      <c r="AD123" s="32"/>
      <c r="AE123" s="32"/>
      <c r="AF123" s="32"/>
      <c r="AH123" s="159"/>
      <c r="AI123" s="153"/>
      <c r="AJ123" s="150"/>
      <c r="AK123" s="150"/>
      <c r="AL123" s="150"/>
      <c r="AM123" s="151"/>
      <c r="AN123" s="154"/>
    </row>
    <row r="124" spans="1:40" ht="16.5" x14ac:dyDescent="0.35">
      <c r="A124" s="155">
        <v>45368</v>
      </c>
      <c r="B124">
        <v>402.35</v>
      </c>
      <c r="C124" s="32">
        <v>8.5400000000000004E-2</v>
      </c>
      <c r="D124">
        <v>39400</v>
      </c>
      <c r="E124" s="32">
        <v>-1.38E-2</v>
      </c>
      <c r="F124">
        <v>70</v>
      </c>
      <c r="G124" s="32">
        <v>1.4500000000000001E-2</v>
      </c>
      <c r="H124">
        <v>64.77</v>
      </c>
      <c r="I124" s="32">
        <v>3.0499999999999999E-2</v>
      </c>
      <c r="J124">
        <v>16.3</v>
      </c>
      <c r="K124" s="32">
        <v>-5.7799999999999997E-2</v>
      </c>
      <c r="L124">
        <v>1500</v>
      </c>
      <c r="M124" s="32">
        <v>2.9499999999999998E-2</v>
      </c>
      <c r="N124">
        <v>22096.75</v>
      </c>
      <c r="O124" s="32">
        <v>3.3E-3</v>
      </c>
      <c r="P124">
        <v>16428.82</v>
      </c>
      <c r="Q124" s="32">
        <v>2.8500000000000001E-2</v>
      </c>
      <c r="R124">
        <v>7381.91</v>
      </c>
      <c r="S124" s="32">
        <v>9.5999999999999992E-3</v>
      </c>
      <c r="T124">
        <v>876.34</v>
      </c>
      <c r="U124" s="32">
        <v>2.8799999999999999E-2</v>
      </c>
      <c r="V124">
        <v>903.98</v>
      </c>
      <c r="W124" s="32">
        <v>2.6700000000000002E-2</v>
      </c>
      <c r="X124" s="158">
        <v>19994.599999999999</v>
      </c>
      <c r="Y124" s="32">
        <v>8.5000000000000006E-3</v>
      </c>
      <c r="Z124" s="32"/>
      <c r="AA124" s="32"/>
      <c r="AB124" s="32"/>
      <c r="AC124" s="32"/>
      <c r="AD124" s="32"/>
      <c r="AE124" s="32"/>
      <c r="AF124" s="32"/>
      <c r="AH124" s="159"/>
      <c r="AI124" s="153"/>
      <c r="AJ124" s="150"/>
      <c r="AK124" s="150"/>
      <c r="AL124" s="150"/>
      <c r="AM124" s="151"/>
      <c r="AN124" s="154"/>
    </row>
    <row r="125" spans="1:40" ht="16.5" x14ac:dyDescent="0.35">
      <c r="A125" s="155">
        <v>45361</v>
      </c>
      <c r="B125">
        <v>370.7</v>
      </c>
      <c r="C125" s="32">
        <v>-7.4999999999999997E-2</v>
      </c>
      <c r="D125">
        <v>39950</v>
      </c>
      <c r="E125" s="32">
        <v>-2.1999999999999999E-2</v>
      </c>
      <c r="F125">
        <v>69</v>
      </c>
      <c r="G125" s="32">
        <v>-0.12659999999999999</v>
      </c>
      <c r="H125">
        <v>62.85</v>
      </c>
      <c r="I125" s="32">
        <v>6.5100000000000005E-2</v>
      </c>
      <c r="J125">
        <v>17.3</v>
      </c>
      <c r="K125" s="32">
        <v>3.7199999999999997E-2</v>
      </c>
      <c r="L125">
        <v>1457</v>
      </c>
      <c r="M125" s="32">
        <v>-1.7299999999999999E-2</v>
      </c>
      <c r="N125">
        <v>22023.35</v>
      </c>
      <c r="O125" s="32">
        <v>-2.0899999999999998E-2</v>
      </c>
      <c r="P125">
        <v>15973.17</v>
      </c>
      <c r="Q125" s="32">
        <v>-7.0000000000000001E-3</v>
      </c>
      <c r="R125">
        <v>7311.91</v>
      </c>
      <c r="S125" s="32">
        <v>2.3E-3</v>
      </c>
      <c r="T125">
        <v>851.78</v>
      </c>
      <c r="U125" s="32">
        <v>-1.18E-2</v>
      </c>
      <c r="V125">
        <v>880.46</v>
      </c>
      <c r="W125" s="32">
        <v>8.3000000000000001E-3</v>
      </c>
      <c r="X125" s="158">
        <v>19825.2</v>
      </c>
      <c r="Y125" s="32">
        <v>-2.98E-2</v>
      </c>
      <c r="Z125" s="32"/>
      <c r="AA125" s="32"/>
      <c r="AB125" s="32"/>
      <c r="AC125" s="32"/>
      <c r="AD125" s="32"/>
      <c r="AE125" s="32"/>
      <c r="AF125" s="32"/>
      <c r="AH125" s="159"/>
      <c r="AI125" s="149"/>
      <c r="AJ125" s="150"/>
      <c r="AK125" s="150"/>
      <c r="AL125" s="150"/>
      <c r="AM125" s="151"/>
      <c r="AN125" s="152"/>
    </row>
    <row r="126" spans="1:40" ht="16.5" x14ac:dyDescent="0.35">
      <c r="A126" s="155">
        <v>45354</v>
      </c>
      <c r="B126">
        <v>400.75</v>
      </c>
      <c r="C126" s="32">
        <v>-5.3600000000000002E-2</v>
      </c>
      <c r="D126">
        <v>40850</v>
      </c>
      <c r="E126" s="32">
        <v>-7.2599999999999998E-2</v>
      </c>
      <c r="F126">
        <v>79</v>
      </c>
      <c r="G126" s="32">
        <v>-4.82E-2</v>
      </c>
      <c r="H126">
        <v>59.01</v>
      </c>
      <c r="I126" s="32">
        <v>-2.53E-2</v>
      </c>
      <c r="J126">
        <v>16.68</v>
      </c>
      <c r="K126" s="32">
        <v>-2.5700000000000001E-2</v>
      </c>
      <c r="L126">
        <v>1482.6</v>
      </c>
      <c r="M126" s="32">
        <v>8.6E-3</v>
      </c>
      <c r="N126">
        <v>22493.55</v>
      </c>
      <c r="O126" s="32">
        <v>6.8999999999999999E-3</v>
      </c>
      <c r="P126">
        <v>16085.11</v>
      </c>
      <c r="Q126" s="32">
        <v>-1.17E-2</v>
      </c>
      <c r="R126">
        <v>7295.1</v>
      </c>
      <c r="S126" s="32">
        <v>-5.4999999999999997E-3</v>
      </c>
      <c r="T126">
        <v>861.96</v>
      </c>
      <c r="U126" s="32">
        <v>9.1999999999999998E-3</v>
      </c>
      <c r="V126">
        <v>873.18</v>
      </c>
      <c r="W126" s="32">
        <v>1.18E-2</v>
      </c>
      <c r="X126" s="158">
        <v>20434.8</v>
      </c>
      <c r="Y126" s="32">
        <v>4.1999999999999997E-3</v>
      </c>
      <c r="Z126" s="32"/>
      <c r="AA126" s="32"/>
      <c r="AB126" s="32"/>
      <c r="AC126" s="32"/>
      <c r="AD126" s="32"/>
      <c r="AE126" s="32"/>
      <c r="AF126" s="32"/>
      <c r="AH126" s="159"/>
      <c r="AI126" s="153"/>
      <c r="AJ126" s="150"/>
      <c r="AK126" s="150"/>
      <c r="AL126" s="150"/>
      <c r="AM126" s="151"/>
      <c r="AN126" s="154"/>
    </row>
    <row r="127" spans="1:40" ht="16.5" x14ac:dyDescent="0.35">
      <c r="A127" s="155">
        <v>45347</v>
      </c>
      <c r="B127">
        <v>423.45</v>
      </c>
      <c r="C127" s="32">
        <v>3.85E-2</v>
      </c>
      <c r="D127">
        <v>44050</v>
      </c>
      <c r="E127" s="32">
        <v>-5.8799999999999998E-2</v>
      </c>
      <c r="F127">
        <v>83</v>
      </c>
      <c r="G127" s="32">
        <v>-1.1900000000000001E-2</v>
      </c>
      <c r="H127">
        <v>60.54</v>
      </c>
      <c r="I127" s="32">
        <v>2.3300000000000001E-2</v>
      </c>
      <c r="J127">
        <v>17.12</v>
      </c>
      <c r="K127" s="32">
        <v>1.72E-2</v>
      </c>
      <c r="L127">
        <v>1470</v>
      </c>
      <c r="M127" s="32">
        <v>1.6000000000000001E-3</v>
      </c>
      <c r="N127">
        <v>22338.75</v>
      </c>
      <c r="O127" s="32">
        <v>5.7000000000000002E-3</v>
      </c>
      <c r="P127">
        <v>16274.94</v>
      </c>
      <c r="Q127" s="32">
        <v>1.7399999999999999E-2</v>
      </c>
      <c r="R127">
        <v>7335.54</v>
      </c>
      <c r="S127" s="32">
        <v>1.3899999999999999E-2</v>
      </c>
      <c r="T127">
        <v>854.1</v>
      </c>
      <c r="U127" s="32">
        <v>-1E-3</v>
      </c>
      <c r="V127">
        <v>862.96</v>
      </c>
      <c r="W127" s="32">
        <v>-6.4999999999999997E-3</v>
      </c>
      <c r="X127" s="158">
        <v>20349.8</v>
      </c>
      <c r="Y127" s="32">
        <v>1.8E-3</v>
      </c>
      <c r="Z127" s="32"/>
      <c r="AA127" s="32"/>
      <c r="AB127" s="32"/>
      <c r="AC127" s="32"/>
      <c r="AD127" s="32"/>
      <c r="AE127" s="32"/>
      <c r="AF127" s="32"/>
      <c r="AH127" s="159"/>
      <c r="AI127" s="153"/>
      <c r="AJ127" s="150"/>
      <c r="AK127" s="150"/>
      <c r="AL127" s="150"/>
      <c r="AM127" s="151"/>
      <c r="AN127" s="154"/>
    </row>
    <row r="128" spans="1:40" ht="16.5" x14ac:dyDescent="0.35">
      <c r="A128" s="155">
        <v>45340</v>
      </c>
      <c r="B128">
        <v>407.75</v>
      </c>
      <c r="C128" s="32">
        <v>0.19470000000000001</v>
      </c>
      <c r="D128">
        <v>46800</v>
      </c>
      <c r="E128" s="32">
        <v>-5.2600000000000001E-2</v>
      </c>
      <c r="F128">
        <v>84</v>
      </c>
      <c r="G128" s="32">
        <v>-6.6699999999999995E-2</v>
      </c>
      <c r="H128">
        <v>59.16</v>
      </c>
      <c r="I128" s="32">
        <v>2.9999999999999997E-4</v>
      </c>
      <c r="J128">
        <v>16.829999999999998</v>
      </c>
      <c r="K128" s="32">
        <v>0.02</v>
      </c>
      <c r="L128">
        <v>1467.6</v>
      </c>
      <c r="M128" s="32">
        <v>-2.6700000000000002E-2</v>
      </c>
      <c r="N128">
        <v>22212.7</v>
      </c>
      <c r="O128" s="32">
        <v>7.7999999999999996E-3</v>
      </c>
      <c r="P128">
        <v>15996.82</v>
      </c>
      <c r="Q128" s="32">
        <v>1.4E-2</v>
      </c>
      <c r="R128">
        <v>7235.15</v>
      </c>
      <c r="S128" s="32">
        <v>-5.0000000000000001E-4</v>
      </c>
      <c r="T128">
        <v>854.97</v>
      </c>
      <c r="U128" s="32">
        <v>-3.7000000000000002E-3</v>
      </c>
      <c r="V128">
        <v>868.57</v>
      </c>
      <c r="W128" s="32">
        <v>1.2800000000000001E-2</v>
      </c>
      <c r="X128" s="158">
        <v>20313.5</v>
      </c>
      <c r="Y128" s="32">
        <v>7.4000000000000003E-3</v>
      </c>
      <c r="Z128" s="32"/>
      <c r="AA128" s="32"/>
      <c r="AB128" s="32"/>
      <c r="AC128" s="32"/>
      <c r="AD128" s="32"/>
      <c r="AE128" s="32"/>
      <c r="AF128" s="32"/>
      <c r="AH128" s="159"/>
      <c r="AI128" s="153"/>
      <c r="AJ128" s="150"/>
      <c r="AK128" s="150"/>
      <c r="AL128" s="150"/>
      <c r="AM128" s="151"/>
      <c r="AN128" s="154"/>
    </row>
    <row r="129" spans="1:40" ht="16.5" x14ac:dyDescent="0.35">
      <c r="A129" s="155">
        <v>45333</v>
      </c>
      <c r="B129">
        <v>341.3</v>
      </c>
      <c r="C129" s="32">
        <v>-0.18709999999999999</v>
      </c>
      <c r="D129">
        <v>49400</v>
      </c>
      <c r="E129" s="32">
        <v>3.4599999999999999E-2</v>
      </c>
      <c r="F129">
        <v>90</v>
      </c>
      <c r="G129" s="32">
        <v>9.7600000000000006E-2</v>
      </c>
      <c r="H129">
        <v>59.14</v>
      </c>
      <c r="I129" s="32">
        <v>3.8999999999999998E-3</v>
      </c>
      <c r="J129">
        <v>16.5</v>
      </c>
      <c r="K129" s="32">
        <v>-8.8900000000000007E-2</v>
      </c>
      <c r="L129">
        <v>1507.8</v>
      </c>
      <c r="M129" s="32">
        <v>2.3599999999999999E-2</v>
      </c>
      <c r="N129">
        <v>22040.7</v>
      </c>
      <c r="O129" s="32">
        <v>1.1900000000000001E-2</v>
      </c>
      <c r="P129">
        <v>15775.65</v>
      </c>
      <c r="Q129" s="32">
        <v>-1.34E-2</v>
      </c>
      <c r="R129">
        <v>7238.79</v>
      </c>
      <c r="S129" s="32">
        <v>1.4200000000000001E-2</v>
      </c>
      <c r="T129">
        <v>858.11</v>
      </c>
      <c r="U129" s="32">
        <v>7.4000000000000003E-3</v>
      </c>
      <c r="V129">
        <v>857.6</v>
      </c>
      <c r="W129" s="32">
        <v>3.7499999999999999E-2</v>
      </c>
      <c r="X129" s="158">
        <v>20164.900000000001</v>
      </c>
      <c r="Y129" s="32">
        <v>1.0200000000000001E-2</v>
      </c>
      <c r="Z129" s="32"/>
      <c r="AA129" s="32"/>
      <c r="AB129" s="32"/>
      <c r="AC129" s="32"/>
      <c r="AD129" s="32"/>
      <c r="AE129" s="32"/>
      <c r="AF129" s="32"/>
      <c r="AH129" s="159"/>
      <c r="AI129" s="153"/>
      <c r="AJ129" s="150"/>
      <c r="AK129" s="150"/>
      <c r="AL129" s="150"/>
      <c r="AM129" s="151"/>
      <c r="AN129" s="154"/>
    </row>
    <row r="130" spans="1:40" ht="16.5" x14ac:dyDescent="0.35">
      <c r="A130" s="155">
        <v>45326</v>
      </c>
      <c r="B130">
        <v>419.85</v>
      </c>
      <c r="C130" s="32">
        <v>-0.13819999999999999</v>
      </c>
      <c r="D130">
        <v>47750</v>
      </c>
      <c r="E130" s="32">
        <v>-2.1499999999999998E-2</v>
      </c>
      <c r="F130">
        <v>82</v>
      </c>
      <c r="G130" s="32">
        <v>-4.65E-2</v>
      </c>
      <c r="H130">
        <v>58.91</v>
      </c>
      <c r="I130" s="32">
        <v>-5.62E-2</v>
      </c>
      <c r="J130">
        <v>18.11</v>
      </c>
      <c r="K130" s="32">
        <v>-5.4999999999999997E-3</v>
      </c>
      <c r="L130">
        <v>1473</v>
      </c>
      <c r="M130" s="32">
        <v>0.224</v>
      </c>
      <c r="N130">
        <v>21782.5</v>
      </c>
      <c r="O130" s="32">
        <v>-3.3E-3</v>
      </c>
      <c r="P130">
        <v>15990.66</v>
      </c>
      <c r="Q130" s="32">
        <v>2.3099999999999999E-2</v>
      </c>
      <c r="R130">
        <v>7137.09</v>
      </c>
      <c r="S130" s="32">
        <v>-1.2500000000000001E-2</v>
      </c>
      <c r="T130">
        <v>851.77</v>
      </c>
      <c r="U130" s="32">
        <v>3.5499999999999997E-2</v>
      </c>
      <c r="V130">
        <v>826.58</v>
      </c>
      <c r="W130" s="32">
        <v>1.4500000000000001E-2</v>
      </c>
      <c r="X130" s="158">
        <v>19961.5</v>
      </c>
      <c r="Y130" s="32">
        <v>2.5000000000000001E-3</v>
      </c>
      <c r="Z130" s="32"/>
      <c r="AA130" s="32"/>
      <c r="AB130" s="32"/>
      <c r="AC130" s="32"/>
      <c r="AD130" s="32"/>
      <c r="AE130" s="32"/>
      <c r="AF130" s="32"/>
      <c r="AH130" s="159"/>
      <c r="AI130" s="153"/>
      <c r="AJ130" s="150"/>
      <c r="AK130" s="150"/>
      <c r="AL130" s="150"/>
      <c r="AM130" s="151"/>
      <c r="AN130" s="154"/>
    </row>
    <row r="131" spans="1:40" ht="16.5" x14ac:dyDescent="0.35">
      <c r="A131" s="155">
        <v>45319</v>
      </c>
      <c r="B131">
        <v>487.2</v>
      </c>
      <c r="C131" s="32">
        <v>-0.36149999999999999</v>
      </c>
      <c r="D131">
        <v>48800</v>
      </c>
      <c r="E131" s="32">
        <v>-5.0599999999999999E-2</v>
      </c>
      <c r="F131">
        <v>86</v>
      </c>
      <c r="G131" s="32">
        <v>-5.4899999999999997E-2</v>
      </c>
      <c r="H131">
        <v>62.42</v>
      </c>
      <c r="I131" s="32">
        <v>1.04E-2</v>
      </c>
      <c r="J131">
        <v>18.21</v>
      </c>
      <c r="K131" s="32">
        <v>6.1000000000000004E-3</v>
      </c>
      <c r="L131">
        <v>1203.4000000000001</v>
      </c>
      <c r="M131" s="32">
        <v>3.6499999999999998E-2</v>
      </c>
      <c r="N131">
        <v>21853.8</v>
      </c>
      <c r="O131" s="32">
        <v>2.35E-2</v>
      </c>
      <c r="P131">
        <v>15628.95</v>
      </c>
      <c r="Q131" s="32">
        <v>1.12E-2</v>
      </c>
      <c r="R131">
        <v>7227.4</v>
      </c>
      <c r="S131" s="32">
        <v>-1.9E-3</v>
      </c>
      <c r="T131">
        <v>822.53</v>
      </c>
      <c r="U131" s="32">
        <v>5.8999999999999999E-3</v>
      </c>
      <c r="V131">
        <v>814.77</v>
      </c>
      <c r="W131" s="32">
        <v>-2.6800000000000001E-2</v>
      </c>
      <c r="X131" s="158">
        <v>19910.8</v>
      </c>
      <c r="Y131" s="32">
        <v>2.6700000000000002E-2</v>
      </c>
      <c r="Z131" s="32"/>
      <c r="AA131" s="32"/>
      <c r="AB131" s="32"/>
      <c r="AC131" s="32"/>
      <c r="AD131" s="32"/>
      <c r="AE131" s="32"/>
      <c r="AF131" s="32"/>
      <c r="AH131" s="159"/>
      <c r="AI131" s="153"/>
      <c r="AJ131" s="150"/>
      <c r="AK131" s="150"/>
      <c r="AL131" s="150"/>
      <c r="AM131" s="151"/>
      <c r="AN131" s="154"/>
    </row>
    <row r="132" spans="1:40" ht="16.5" x14ac:dyDescent="0.35">
      <c r="A132" s="155">
        <v>45312</v>
      </c>
      <c r="B132">
        <v>763.05</v>
      </c>
      <c r="C132" s="32">
        <v>-1.3599999999999999E-2</v>
      </c>
      <c r="D132">
        <v>51400</v>
      </c>
      <c r="E132" s="32">
        <v>-1.15E-2</v>
      </c>
      <c r="F132">
        <v>91</v>
      </c>
      <c r="G132" s="32">
        <v>5.8099999999999999E-2</v>
      </c>
      <c r="H132">
        <v>61.78</v>
      </c>
      <c r="I132" s="32">
        <v>-6.1400000000000003E-2</v>
      </c>
      <c r="J132">
        <v>18.100000000000001</v>
      </c>
      <c r="K132" s="32">
        <v>6.2799999999999995E-2</v>
      </c>
      <c r="L132">
        <v>1161</v>
      </c>
      <c r="M132" s="32">
        <v>2.7300000000000001E-2</v>
      </c>
      <c r="N132">
        <v>21352.6</v>
      </c>
      <c r="O132" s="32">
        <v>-1.2500000000000001E-2</v>
      </c>
      <c r="P132">
        <v>15455.36</v>
      </c>
      <c r="Q132" s="32">
        <v>9.4000000000000004E-3</v>
      </c>
      <c r="R132">
        <v>7241.14</v>
      </c>
      <c r="S132" s="32">
        <v>-1.49E-2</v>
      </c>
      <c r="T132">
        <v>817.74</v>
      </c>
      <c r="U132" s="32">
        <v>4.99E-2</v>
      </c>
      <c r="V132">
        <v>837.24</v>
      </c>
      <c r="W132" s="32">
        <v>-6.4000000000000003E-3</v>
      </c>
      <c r="X132" s="158">
        <v>19393</v>
      </c>
      <c r="Y132" s="32">
        <v>-1.09E-2</v>
      </c>
      <c r="Z132" s="32"/>
      <c r="AA132" s="32"/>
      <c r="AB132" s="32"/>
      <c r="AC132" s="32"/>
      <c r="AD132" s="32"/>
      <c r="AE132" s="32"/>
      <c r="AF132" s="32"/>
      <c r="AH132" s="159"/>
      <c r="AI132" s="149"/>
      <c r="AJ132" s="150"/>
      <c r="AK132" s="150"/>
      <c r="AL132" s="150"/>
      <c r="AM132" s="151"/>
      <c r="AN132" s="152"/>
    </row>
    <row r="133" spans="1:40" ht="16.5" x14ac:dyDescent="0.35">
      <c r="A133" s="155">
        <v>45305</v>
      </c>
      <c r="B133">
        <v>773.6</v>
      </c>
      <c r="C133" s="32">
        <v>0.1172</v>
      </c>
      <c r="D133">
        <v>52000</v>
      </c>
      <c r="E133" s="32">
        <v>-7.3099999999999998E-2</v>
      </c>
      <c r="F133">
        <v>86</v>
      </c>
      <c r="G133" s="32">
        <v>0</v>
      </c>
      <c r="H133">
        <v>65.819999999999993</v>
      </c>
      <c r="I133" s="32">
        <v>7.9000000000000001E-2</v>
      </c>
      <c r="J133">
        <v>17.03</v>
      </c>
      <c r="K133" s="32">
        <v>-4.7000000000000002E-3</v>
      </c>
      <c r="L133">
        <v>1130.2</v>
      </c>
      <c r="M133" s="32">
        <v>-5.6800000000000003E-2</v>
      </c>
      <c r="N133">
        <v>21622.400000000001</v>
      </c>
      <c r="O133" s="32">
        <v>-1.24E-2</v>
      </c>
      <c r="P133">
        <v>15310.97</v>
      </c>
      <c r="Q133" s="32">
        <v>2.2599999999999999E-2</v>
      </c>
      <c r="R133">
        <v>7350.62</v>
      </c>
      <c r="S133" s="32">
        <v>1.0699999999999999E-2</v>
      </c>
      <c r="T133">
        <v>778.89</v>
      </c>
      <c r="U133" s="32">
        <v>-3.8E-3</v>
      </c>
      <c r="V133">
        <v>842.67</v>
      </c>
      <c r="W133" s="32">
        <v>-2.93E-2</v>
      </c>
      <c r="X133" s="158">
        <v>19606.400000000001</v>
      </c>
      <c r="Y133" s="32">
        <v>-7.0000000000000001E-3</v>
      </c>
      <c r="Z133" s="32"/>
      <c r="AA133" s="32"/>
      <c r="AB133" s="32"/>
      <c r="AC133" s="32"/>
      <c r="AD133" s="32"/>
      <c r="AE133" s="32"/>
      <c r="AF133" s="32"/>
      <c r="AH133" s="159"/>
      <c r="AI133" s="149"/>
      <c r="AJ133" s="150"/>
      <c r="AK133" s="150"/>
      <c r="AL133" s="150"/>
      <c r="AM133" s="151"/>
      <c r="AN133" s="152"/>
    </row>
    <row r="134" spans="1:40" ht="16.5" x14ac:dyDescent="0.35">
      <c r="A134" s="155">
        <v>45298</v>
      </c>
      <c r="B134">
        <v>692.45</v>
      </c>
      <c r="C134" s="32">
        <v>1.0699999999999999E-2</v>
      </c>
      <c r="D134">
        <v>56100</v>
      </c>
      <c r="E134" s="32">
        <v>0.21690000000000001</v>
      </c>
      <c r="F134">
        <v>86</v>
      </c>
      <c r="G134" s="32">
        <v>0</v>
      </c>
      <c r="H134">
        <v>61</v>
      </c>
      <c r="I134" s="32">
        <v>1.46E-2</v>
      </c>
      <c r="J134">
        <v>17.11</v>
      </c>
      <c r="K134" s="32">
        <v>5.9999999999999995E-4</v>
      </c>
      <c r="L134">
        <v>1198.2</v>
      </c>
      <c r="M134" s="32">
        <v>6.0499999999999998E-2</v>
      </c>
      <c r="N134">
        <v>21894.55</v>
      </c>
      <c r="O134" s="32">
        <v>8.5000000000000006E-3</v>
      </c>
      <c r="P134">
        <v>14972.76</v>
      </c>
      <c r="Q134" s="32">
        <v>3.09E-2</v>
      </c>
      <c r="R134">
        <v>7272.8</v>
      </c>
      <c r="S134" s="32">
        <v>4.8999999999999998E-3</v>
      </c>
      <c r="T134">
        <v>781.86</v>
      </c>
      <c r="U134" s="32">
        <v>4.1000000000000003E-3</v>
      </c>
      <c r="V134">
        <v>868.08</v>
      </c>
      <c r="W134" s="32">
        <v>-1.17E-2</v>
      </c>
      <c r="X134" s="158">
        <v>19745.599999999999</v>
      </c>
      <c r="Y134" s="32">
        <v>7.9000000000000008E-3</v>
      </c>
      <c r="Z134" s="32"/>
      <c r="AA134" s="32"/>
      <c r="AB134" s="32"/>
      <c r="AC134" s="32"/>
      <c r="AD134" s="32"/>
      <c r="AE134" s="32"/>
      <c r="AF134" s="32"/>
      <c r="AH134" s="159"/>
      <c r="AI134" s="153"/>
      <c r="AJ134" s="150"/>
      <c r="AK134" s="150"/>
      <c r="AL134" s="150"/>
      <c r="AM134" s="151"/>
      <c r="AN134" s="154"/>
    </row>
    <row r="135" spans="1:40" ht="16.5" x14ac:dyDescent="0.35">
      <c r="A135" s="155">
        <v>45291</v>
      </c>
      <c r="B135">
        <v>685.15</v>
      </c>
      <c r="C135" s="32">
        <v>7.8200000000000006E-2</v>
      </c>
      <c r="D135">
        <v>46100</v>
      </c>
      <c r="E135" s="32">
        <v>-6.4899999999999999E-2</v>
      </c>
      <c r="F135">
        <v>86</v>
      </c>
      <c r="G135" s="32">
        <v>-7.5300000000000006E-2</v>
      </c>
      <c r="H135">
        <v>60.12</v>
      </c>
      <c r="I135" s="32">
        <v>-2.1000000000000001E-2</v>
      </c>
      <c r="J135">
        <v>17.100000000000001</v>
      </c>
      <c r="K135" s="32">
        <v>-5.16E-2</v>
      </c>
      <c r="L135">
        <v>1129.8</v>
      </c>
      <c r="M135" s="32">
        <v>-3.15E-2</v>
      </c>
      <c r="N135">
        <v>21710.799999999999</v>
      </c>
      <c r="O135" s="32">
        <v>-8.9999999999999998E-4</v>
      </c>
      <c r="P135">
        <v>14524.07</v>
      </c>
      <c r="Q135" s="32">
        <v>-3.2500000000000001E-2</v>
      </c>
      <c r="R135">
        <v>7237.52</v>
      </c>
      <c r="S135" s="32">
        <v>6.4999999999999997E-3</v>
      </c>
      <c r="T135">
        <v>778.7</v>
      </c>
      <c r="U135" s="32">
        <v>-1.03E-2</v>
      </c>
      <c r="V135">
        <v>878.33</v>
      </c>
      <c r="W135" s="32">
        <v>1.3599999999999999E-2</v>
      </c>
      <c r="X135" s="158">
        <v>19590.599999999999</v>
      </c>
      <c r="Y135" s="32">
        <v>8.3000000000000001E-3</v>
      </c>
      <c r="Z135" s="32"/>
      <c r="AA135" s="32"/>
      <c r="AB135" s="32"/>
      <c r="AC135" s="32"/>
      <c r="AD135" s="32"/>
      <c r="AE135" s="32"/>
      <c r="AF135" s="32"/>
      <c r="AH135" s="159"/>
      <c r="AI135" s="153"/>
      <c r="AJ135" s="150"/>
      <c r="AK135" s="150"/>
      <c r="AL135" s="150"/>
      <c r="AM135" s="151"/>
      <c r="AN135" s="154"/>
    </row>
    <row r="136" spans="1:40" ht="16.5" x14ac:dyDescent="0.35">
      <c r="A136" s="155">
        <v>45284</v>
      </c>
      <c r="B136">
        <v>635.45000000000005</v>
      </c>
      <c r="C136" s="32">
        <v>-1.0500000000000001E-2</v>
      </c>
      <c r="D136">
        <v>49300</v>
      </c>
      <c r="E136" s="32">
        <v>3.6799999999999999E-2</v>
      </c>
      <c r="F136">
        <v>93</v>
      </c>
      <c r="G136" s="32">
        <v>-0.1389</v>
      </c>
      <c r="H136">
        <v>61.41</v>
      </c>
      <c r="I136" s="32">
        <v>-7.0000000000000001E-3</v>
      </c>
      <c r="J136">
        <v>18.03</v>
      </c>
      <c r="K136" s="32">
        <v>1.1000000000000001E-3</v>
      </c>
      <c r="L136">
        <v>1166.5999999999999</v>
      </c>
      <c r="M136" s="32">
        <v>-1.1999999999999999E-3</v>
      </c>
      <c r="N136">
        <v>21731.4</v>
      </c>
      <c r="O136" s="32">
        <v>1.7899999999999999E-2</v>
      </c>
      <c r="P136">
        <v>15011.35</v>
      </c>
      <c r="Q136" s="32">
        <v>1.1999999999999999E-3</v>
      </c>
      <c r="R136">
        <v>7190.99</v>
      </c>
      <c r="S136" s="32">
        <v>4.4000000000000003E-3</v>
      </c>
      <c r="T136">
        <v>786.82</v>
      </c>
      <c r="U136" s="32">
        <v>1.6999999999999999E-3</v>
      </c>
      <c r="V136">
        <v>866.57</v>
      </c>
      <c r="W136" s="32">
        <v>1.4E-2</v>
      </c>
      <c r="X136" s="158">
        <v>19429.150000000001</v>
      </c>
      <c r="Y136" s="32">
        <v>1.9699999999999999E-2</v>
      </c>
      <c r="Z136" s="32"/>
      <c r="AA136" s="32"/>
      <c r="AB136" s="32"/>
      <c r="AC136" s="32"/>
      <c r="AD136" s="32"/>
      <c r="AE136" s="32"/>
      <c r="AF136" s="32"/>
      <c r="AH136" s="159"/>
      <c r="AI136" s="153"/>
      <c r="AJ136" s="150"/>
      <c r="AK136" s="150"/>
      <c r="AL136" s="150"/>
      <c r="AM136" s="151"/>
      <c r="AN136" s="154"/>
    </row>
    <row r="137" spans="1:40" ht="16.5" x14ac:dyDescent="0.35">
      <c r="A137" s="155">
        <v>45277</v>
      </c>
      <c r="B137">
        <v>642.20000000000005</v>
      </c>
      <c r="C137" s="32">
        <v>5.96E-2</v>
      </c>
      <c r="D137">
        <v>47550</v>
      </c>
      <c r="E137" s="32">
        <v>-4.2299999999999997E-2</v>
      </c>
      <c r="F137">
        <v>108</v>
      </c>
      <c r="G137" s="32">
        <v>-9.1999999999999998E-3</v>
      </c>
      <c r="H137">
        <v>61.84</v>
      </c>
      <c r="I137" s="32">
        <v>9.4999999999999998E-3</v>
      </c>
      <c r="J137">
        <v>18.010000000000002</v>
      </c>
      <c r="K137" s="32">
        <v>5.4399999999999997E-2</v>
      </c>
      <c r="L137">
        <v>1168</v>
      </c>
      <c r="M137" s="32">
        <v>-2.3400000000000001E-2</v>
      </c>
      <c r="N137">
        <v>21349.4</v>
      </c>
      <c r="O137" s="32">
        <v>-5.0000000000000001E-3</v>
      </c>
      <c r="P137">
        <v>14992.97</v>
      </c>
      <c r="Q137" s="32">
        <v>1.21E-2</v>
      </c>
      <c r="R137">
        <v>7159.6</v>
      </c>
      <c r="S137" s="32">
        <v>1.41E-2</v>
      </c>
      <c r="T137">
        <v>785.45</v>
      </c>
      <c r="U137" s="32">
        <v>-9.7000000000000003E-3</v>
      </c>
      <c r="V137">
        <v>854.62</v>
      </c>
      <c r="W137" s="32">
        <v>1.95E-2</v>
      </c>
      <c r="X137" s="158">
        <v>19054.7</v>
      </c>
      <c r="Y137" s="32">
        <v>-4.7000000000000002E-3</v>
      </c>
      <c r="Z137" s="32"/>
      <c r="AA137" s="32"/>
      <c r="AB137" s="32"/>
      <c r="AC137" s="32"/>
      <c r="AD137" s="32"/>
      <c r="AE137" s="32"/>
      <c r="AF137" s="32"/>
      <c r="AH137" s="159"/>
      <c r="AI137" s="149"/>
      <c r="AJ137" s="150"/>
      <c r="AK137" s="150"/>
      <c r="AL137" s="150"/>
      <c r="AM137" s="151"/>
      <c r="AN137" s="152"/>
    </row>
    <row r="138" spans="1:40" ht="16.5" x14ac:dyDescent="0.35">
      <c r="A138" s="155">
        <v>45270</v>
      </c>
      <c r="B138">
        <v>606.1</v>
      </c>
      <c r="C138" s="32">
        <v>-6.93E-2</v>
      </c>
      <c r="D138">
        <v>49650</v>
      </c>
      <c r="E138" s="32">
        <v>2.58E-2</v>
      </c>
      <c r="F138">
        <v>109</v>
      </c>
      <c r="G138" s="32">
        <v>0.15959999999999999</v>
      </c>
      <c r="H138">
        <v>61.26</v>
      </c>
      <c r="I138" s="32">
        <v>3.9399999999999998E-2</v>
      </c>
      <c r="J138">
        <v>17.079999999999998</v>
      </c>
      <c r="K138" s="32">
        <v>7.8299999999999995E-2</v>
      </c>
      <c r="L138">
        <v>1196</v>
      </c>
      <c r="M138" s="32">
        <v>7.7999999999999996E-3</v>
      </c>
      <c r="N138">
        <v>21456.65</v>
      </c>
      <c r="O138" s="32">
        <v>2.3199999999999998E-2</v>
      </c>
      <c r="P138">
        <v>14813.92</v>
      </c>
      <c r="Q138" s="32">
        <v>2.8500000000000001E-2</v>
      </c>
      <c r="R138">
        <v>7059.91</v>
      </c>
      <c r="S138" s="32">
        <v>7.1999999999999998E-3</v>
      </c>
      <c r="T138">
        <v>793.13</v>
      </c>
      <c r="U138" s="32">
        <v>1.44E-2</v>
      </c>
      <c r="V138">
        <v>838.31</v>
      </c>
      <c r="W138" s="32">
        <v>9.5999999999999992E-3</v>
      </c>
      <c r="X138" s="158">
        <v>19145.05</v>
      </c>
      <c r="Y138" s="32">
        <v>2.3599999999999999E-2</v>
      </c>
      <c r="Z138" s="32"/>
      <c r="AA138" s="32"/>
      <c r="AB138" s="32"/>
      <c r="AC138" s="32"/>
      <c r="AD138" s="32"/>
      <c r="AE138" s="32"/>
      <c r="AF138" s="32"/>
      <c r="AH138" s="159"/>
      <c r="AI138" s="153"/>
      <c r="AJ138" s="150"/>
      <c r="AK138" s="150"/>
      <c r="AL138" s="150"/>
      <c r="AM138" s="151"/>
      <c r="AN138" s="154"/>
    </row>
    <row r="139" spans="1:40" ht="16.5" x14ac:dyDescent="0.35">
      <c r="A139" s="155">
        <v>45263</v>
      </c>
      <c r="B139">
        <v>651.25</v>
      </c>
      <c r="C139" s="32">
        <v>-0.252</v>
      </c>
      <c r="D139">
        <v>48400</v>
      </c>
      <c r="E139" s="32">
        <v>4.99E-2</v>
      </c>
      <c r="F139">
        <v>94</v>
      </c>
      <c r="G139" s="32">
        <v>0.11899999999999999</v>
      </c>
      <c r="H139">
        <v>58.94</v>
      </c>
      <c r="I139" s="32">
        <v>-1.1900000000000001E-2</v>
      </c>
      <c r="J139">
        <v>15.84</v>
      </c>
      <c r="K139" s="32">
        <v>-3.4099999999999998E-2</v>
      </c>
      <c r="L139">
        <v>1186.8</v>
      </c>
      <c r="M139" s="32">
        <v>9.6000000000000002E-2</v>
      </c>
      <c r="N139">
        <v>20969.400000000001</v>
      </c>
      <c r="O139" s="32">
        <v>3.4599999999999999E-2</v>
      </c>
      <c r="P139">
        <v>14403.97</v>
      </c>
      <c r="Q139" s="32">
        <v>6.8999999999999999E-3</v>
      </c>
      <c r="R139">
        <v>7009.63</v>
      </c>
      <c r="S139" s="32">
        <v>4.5999999999999999E-3</v>
      </c>
      <c r="T139">
        <v>781.85</v>
      </c>
      <c r="U139" s="32">
        <v>1.3599999999999999E-2</v>
      </c>
      <c r="V139">
        <v>830.37</v>
      </c>
      <c r="W139" s="32">
        <v>3.8E-3</v>
      </c>
      <c r="X139" s="158">
        <v>18703.5</v>
      </c>
      <c r="Y139" s="32">
        <v>3.2500000000000001E-2</v>
      </c>
      <c r="Z139" s="32"/>
      <c r="AA139" s="32"/>
      <c r="AB139" s="32"/>
      <c r="AC139" s="32"/>
      <c r="AD139" s="32"/>
      <c r="AE139" s="32"/>
      <c r="AF139" s="32"/>
      <c r="AH139" s="159"/>
      <c r="AI139" s="153"/>
      <c r="AJ139" s="150"/>
      <c r="AK139" s="150"/>
      <c r="AL139" s="150"/>
      <c r="AM139" s="151"/>
      <c r="AN139" s="154"/>
    </row>
    <row r="140" spans="1:40" ht="16.5" x14ac:dyDescent="0.35">
      <c r="A140" s="155">
        <v>45256</v>
      </c>
      <c r="B140">
        <v>870.65</v>
      </c>
      <c r="C140" s="32">
        <v>-2.4500000000000001E-2</v>
      </c>
      <c r="D140">
        <v>46100</v>
      </c>
      <c r="E140" s="32">
        <v>1.9900000000000001E-2</v>
      </c>
      <c r="F140">
        <v>84</v>
      </c>
      <c r="G140" s="32">
        <v>0.1053</v>
      </c>
      <c r="H140">
        <v>59.65</v>
      </c>
      <c r="I140" s="32">
        <v>6.9800000000000001E-2</v>
      </c>
      <c r="J140">
        <v>16.399999999999999</v>
      </c>
      <c r="K140" s="32">
        <v>0.13100000000000001</v>
      </c>
      <c r="L140">
        <v>1082.8</v>
      </c>
      <c r="M140" s="32">
        <v>8.6E-3</v>
      </c>
      <c r="N140">
        <v>20267.900000000001</v>
      </c>
      <c r="O140" s="32">
        <v>2.3900000000000001E-2</v>
      </c>
      <c r="P140">
        <v>14305.03</v>
      </c>
      <c r="Q140" s="32">
        <v>3.8E-3</v>
      </c>
      <c r="R140">
        <v>6977.67</v>
      </c>
      <c r="S140" s="32">
        <v>2.47E-2</v>
      </c>
      <c r="T140">
        <v>771.37</v>
      </c>
      <c r="U140" s="32">
        <v>7.4999999999999997E-3</v>
      </c>
      <c r="V140">
        <v>827.24</v>
      </c>
      <c r="W140" s="32">
        <v>1.4999999999999999E-2</v>
      </c>
      <c r="X140" s="158">
        <v>18115.349999999999</v>
      </c>
      <c r="Y140" s="32">
        <v>2.6700000000000002E-2</v>
      </c>
      <c r="Z140" s="32"/>
      <c r="AA140" s="32"/>
      <c r="AB140" s="32"/>
      <c r="AC140" s="32"/>
      <c r="AD140" s="32"/>
      <c r="AE140" s="32"/>
      <c r="AF140" s="32"/>
      <c r="AH140" s="159"/>
      <c r="AI140" s="153"/>
      <c r="AJ140" s="150"/>
      <c r="AK140" s="150"/>
      <c r="AL140" s="150"/>
      <c r="AM140" s="151"/>
      <c r="AN140" s="154"/>
    </row>
    <row r="141" spans="1:40" ht="16.5" x14ac:dyDescent="0.35">
      <c r="A141" s="155">
        <v>45249</v>
      </c>
      <c r="B141">
        <v>892.55</v>
      </c>
      <c r="C141" s="32">
        <v>4.7000000000000002E-3</v>
      </c>
      <c r="D141">
        <v>45200</v>
      </c>
      <c r="E141" s="32">
        <v>8.1299999999999997E-2</v>
      </c>
      <c r="F141">
        <v>76</v>
      </c>
      <c r="G141" s="32">
        <v>8.5699999999999998E-2</v>
      </c>
      <c r="H141">
        <v>55.76</v>
      </c>
      <c r="I141" s="32">
        <v>-1.38E-2</v>
      </c>
      <c r="J141">
        <v>14.5</v>
      </c>
      <c r="K141" s="32">
        <v>4.5400000000000003E-2</v>
      </c>
      <c r="L141">
        <v>1073.5999999999999</v>
      </c>
      <c r="M141" s="32">
        <v>3.4700000000000002E-2</v>
      </c>
      <c r="N141">
        <v>19794.7</v>
      </c>
      <c r="O141" s="32">
        <v>3.2000000000000002E-3</v>
      </c>
      <c r="P141">
        <v>14250.86</v>
      </c>
      <c r="Q141" s="32">
        <v>8.8999999999999999E-3</v>
      </c>
      <c r="R141">
        <v>6809.26</v>
      </c>
      <c r="S141" s="32">
        <v>3.0000000000000001E-3</v>
      </c>
      <c r="T141">
        <v>765.66</v>
      </c>
      <c r="U141" s="32">
        <v>9.2999999999999992E-3</v>
      </c>
      <c r="V141">
        <v>815</v>
      </c>
      <c r="W141" s="32">
        <v>1.9900000000000001E-2</v>
      </c>
      <c r="X141" s="158">
        <v>17643.5</v>
      </c>
      <c r="Y141" s="32">
        <v>2.3999999999999998E-3</v>
      </c>
      <c r="Z141" s="32"/>
      <c r="AA141" s="32"/>
      <c r="AB141" s="32"/>
      <c r="AC141" s="32"/>
      <c r="AD141" s="32"/>
      <c r="AE141" s="32"/>
      <c r="AF141" s="32"/>
      <c r="AH141" s="159"/>
      <c r="AI141" s="153"/>
      <c r="AJ141" s="150"/>
      <c r="AK141" s="150"/>
      <c r="AL141" s="150"/>
      <c r="AM141" s="151"/>
      <c r="AN141" s="154"/>
    </row>
    <row r="142" spans="1:40" ht="16.5" x14ac:dyDescent="0.35">
      <c r="A142" s="155">
        <v>45242</v>
      </c>
      <c r="B142">
        <v>888.4</v>
      </c>
      <c r="C142" s="32">
        <v>-6.4000000000000003E-3</v>
      </c>
      <c r="D142">
        <v>41800</v>
      </c>
      <c r="E142" s="32">
        <v>2.8299999999999999E-2</v>
      </c>
      <c r="F142">
        <v>70</v>
      </c>
      <c r="G142" s="32">
        <v>0.25</v>
      </c>
      <c r="H142">
        <v>56.54</v>
      </c>
      <c r="I142" s="32">
        <v>3.2300000000000002E-2</v>
      </c>
      <c r="J142">
        <v>13.87</v>
      </c>
      <c r="K142" s="32">
        <v>0.29380000000000001</v>
      </c>
      <c r="L142">
        <v>1037.5999999999999</v>
      </c>
      <c r="M142" s="32">
        <v>0.1085</v>
      </c>
      <c r="N142">
        <v>19731.8</v>
      </c>
      <c r="O142" s="32">
        <v>1.5800000000000002E-2</v>
      </c>
      <c r="P142">
        <v>14125.48</v>
      </c>
      <c r="Q142" s="32">
        <v>2.3699999999999999E-2</v>
      </c>
      <c r="R142">
        <v>6788.85</v>
      </c>
      <c r="S142" s="32">
        <v>4.4000000000000003E-3</v>
      </c>
      <c r="T142">
        <v>758.59</v>
      </c>
      <c r="U142" s="32">
        <v>1.6500000000000001E-2</v>
      </c>
      <c r="V142">
        <v>799.06</v>
      </c>
      <c r="W142" s="32">
        <v>1.24E-2</v>
      </c>
      <c r="X142" s="158">
        <v>17600.5</v>
      </c>
      <c r="Y142" s="32">
        <v>1.9900000000000001E-2</v>
      </c>
      <c r="Z142" s="32"/>
      <c r="AA142" s="32"/>
      <c r="AB142" s="32"/>
      <c r="AC142" s="32"/>
      <c r="AD142" s="32"/>
      <c r="AE142" s="32"/>
      <c r="AF142" s="32"/>
      <c r="AH142" s="159"/>
      <c r="AI142" s="153"/>
      <c r="AJ142" s="150"/>
      <c r="AK142" s="150"/>
      <c r="AL142" s="150"/>
      <c r="AM142" s="151"/>
      <c r="AN142" s="154"/>
    </row>
    <row r="143" spans="1:40" ht="16.5" x14ac:dyDescent="0.35">
      <c r="A143" s="155">
        <v>45235</v>
      </c>
      <c r="B143">
        <v>894.15</v>
      </c>
      <c r="C143" s="32">
        <v>-1.0999999999999999E-2</v>
      </c>
      <c r="D143">
        <v>40650</v>
      </c>
      <c r="E143" s="32">
        <v>2.2599999999999999E-2</v>
      </c>
      <c r="F143">
        <v>56</v>
      </c>
      <c r="G143" s="32">
        <v>-6.6699999999999995E-2</v>
      </c>
      <c r="H143">
        <v>54.77</v>
      </c>
      <c r="I143" s="32">
        <v>-2.3699999999999999E-2</v>
      </c>
      <c r="J143">
        <v>10.72</v>
      </c>
      <c r="K143" s="32">
        <v>-2.01E-2</v>
      </c>
      <c r="L143">
        <v>936</v>
      </c>
      <c r="M143" s="32">
        <v>0.32050000000000001</v>
      </c>
      <c r="N143">
        <v>19425.349999999999</v>
      </c>
      <c r="O143" s="32">
        <v>1.01E-2</v>
      </c>
      <c r="P143">
        <v>13798.11</v>
      </c>
      <c r="Q143" s="32">
        <v>2.3699999999999999E-2</v>
      </c>
      <c r="R143">
        <v>6758.79</v>
      </c>
      <c r="S143" s="32">
        <v>-1.32E-2</v>
      </c>
      <c r="T143">
        <v>746.31</v>
      </c>
      <c r="U143" s="32">
        <v>1.3599999999999999E-2</v>
      </c>
      <c r="V143">
        <v>789.31</v>
      </c>
      <c r="W143" s="32">
        <v>9.2999999999999992E-3</v>
      </c>
      <c r="X143" s="158">
        <v>17256.599999999999</v>
      </c>
      <c r="Y143" s="32">
        <v>1.4999999999999999E-2</v>
      </c>
      <c r="Z143" s="32"/>
      <c r="AA143" s="32"/>
      <c r="AB143" s="32"/>
      <c r="AC143" s="32"/>
      <c r="AD143" s="32"/>
      <c r="AE143" s="32"/>
      <c r="AF143" s="32"/>
      <c r="AH143" s="159"/>
      <c r="AI143" s="153"/>
      <c r="AJ143" s="150"/>
      <c r="AK143" s="150"/>
      <c r="AL143" s="150"/>
      <c r="AM143" s="151"/>
      <c r="AN143" s="154"/>
    </row>
    <row r="144" spans="1:40" ht="16.5" x14ac:dyDescent="0.35">
      <c r="A144" s="155">
        <v>45228</v>
      </c>
      <c r="B144">
        <v>904.05</v>
      </c>
      <c r="C144" s="32">
        <v>8.6E-3</v>
      </c>
      <c r="D144">
        <v>39750</v>
      </c>
      <c r="E144" s="32">
        <v>0.1406</v>
      </c>
      <c r="F144">
        <v>60</v>
      </c>
      <c r="G144" s="32">
        <v>-0.1045</v>
      </c>
      <c r="H144">
        <v>56.1</v>
      </c>
      <c r="I144" s="32">
        <v>0.1133</v>
      </c>
      <c r="J144">
        <v>10.94</v>
      </c>
      <c r="K144" s="32">
        <v>0.1396</v>
      </c>
      <c r="L144">
        <v>708.8</v>
      </c>
      <c r="M144" s="32">
        <v>0.1075</v>
      </c>
      <c r="N144">
        <v>19230.599999999999</v>
      </c>
      <c r="O144" s="32">
        <v>9.5999999999999992E-3</v>
      </c>
      <c r="P144">
        <v>13478.28</v>
      </c>
      <c r="Q144" s="32">
        <v>6.6100000000000006E-2</v>
      </c>
      <c r="R144">
        <v>6849.17</v>
      </c>
      <c r="S144" s="32">
        <v>-1.12E-2</v>
      </c>
      <c r="T144">
        <v>736.31</v>
      </c>
      <c r="U144" s="32">
        <v>3.09E-2</v>
      </c>
      <c r="V144">
        <v>782.05</v>
      </c>
      <c r="W144" s="32">
        <v>4.48E-2</v>
      </c>
      <c r="X144" s="158">
        <v>17000.95</v>
      </c>
      <c r="Y144" s="32">
        <v>1.4E-2</v>
      </c>
      <c r="Z144" s="32"/>
      <c r="AA144" s="32"/>
      <c r="AB144" s="32"/>
      <c r="AC144" s="32"/>
      <c r="AD144" s="32"/>
      <c r="AE144" s="32"/>
      <c r="AF144" s="32"/>
      <c r="AH144" s="159"/>
      <c r="AI144" s="153"/>
      <c r="AJ144" s="150"/>
      <c r="AK144" s="150"/>
      <c r="AL144" s="150"/>
      <c r="AM144" s="151"/>
      <c r="AN144" s="154"/>
    </row>
    <row r="145" spans="1:40" ht="16.5" x14ac:dyDescent="0.35">
      <c r="A145" s="155">
        <v>45221</v>
      </c>
      <c r="B145">
        <v>896.35</v>
      </c>
      <c r="C145" s="32">
        <v>-9.2399999999999996E-2</v>
      </c>
      <c r="D145">
        <v>34850</v>
      </c>
      <c r="E145" s="32">
        <v>-5.5599999999999997E-2</v>
      </c>
      <c r="F145">
        <v>67</v>
      </c>
      <c r="G145" s="32">
        <v>-0.2024</v>
      </c>
      <c r="H145">
        <v>50.39</v>
      </c>
      <c r="I145" s="32">
        <v>-5.62E-2</v>
      </c>
      <c r="J145">
        <v>9.6</v>
      </c>
      <c r="K145" s="32">
        <v>-3.5200000000000002E-2</v>
      </c>
      <c r="L145">
        <v>640</v>
      </c>
      <c r="M145" s="32">
        <v>-6.13E-2</v>
      </c>
      <c r="N145">
        <v>19047.25</v>
      </c>
      <c r="O145" s="32">
        <v>-2.53E-2</v>
      </c>
      <c r="P145">
        <v>12643.01</v>
      </c>
      <c r="Q145" s="32">
        <v>-2.6200000000000001E-2</v>
      </c>
      <c r="R145">
        <v>6926.78</v>
      </c>
      <c r="S145" s="32">
        <v>5.5999999999999999E-3</v>
      </c>
      <c r="T145">
        <v>714.25</v>
      </c>
      <c r="U145" s="32">
        <v>-2.8E-3</v>
      </c>
      <c r="V145">
        <v>748.49</v>
      </c>
      <c r="W145" s="32">
        <v>-2.7E-2</v>
      </c>
      <c r="X145" s="158">
        <v>16765.45</v>
      </c>
      <c r="Y145" s="32">
        <v>-2.58E-2</v>
      </c>
      <c r="Z145" s="32"/>
      <c r="AA145" s="32"/>
      <c r="AB145" s="32"/>
      <c r="AC145" s="32"/>
      <c r="AD145" s="32"/>
      <c r="AE145" s="32"/>
      <c r="AF145" s="32"/>
      <c r="AH145" s="159"/>
      <c r="AI145" s="149"/>
      <c r="AJ145" s="150"/>
      <c r="AK145" s="150"/>
      <c r="AL145" s="150"/>
      <c r="AM145" s="151"/>
      <c r="AN145" s="152"/>
    </row>
    <row r="146" spans="1:40" ht="16.5" x14ac:dyDescent="0.35">
      <c r="A146" s="155">
        <v>45214</v>
      </c>
      <c r="B146">
        <v>987.65</v>
      </c>
      <c r="C146" s="32">
        <v>5.8500000000000003E-2</v>
      </c>
      <c r="D146">
        <v>36900</v>
      </c>
      <c r="E146" s="32">
        <v>-9.2299999999999993E-2</v>
      </c>
      <c r="F146">
        <v>84</v>
      </c>
      <c r="G146" s="32">
        <v>-1.18E-2</v>
      </c>
      <c r="H146">
        <v>53.39</v>
      </c>
      <c r="I146" s="32">
        <v>-4.2299999999999997E-2</v>
      </c>
      <c r="J146">
        <v>9.9499999999999993</v>
      </c>
      <c r="K146" s="32">
        <v>2.47E-2</v>
      </c>
      <c r="L146">
        <v>681.8</v>
      </c>
      <c r="M146" s="32">
        <v>-5.5500000000000001E-2</v>
      </c>
      <c r="N146">
        <v>19542.650000000001</v>
      </c>
      <c r="O146" s="32">
        <v>-1.06E-2</v>
      </c>
      <c r="P146">
        <v>12983.81</v>
      </c>
      <c r="Q146" s="32">
        <v>-3.1600000000000003E-2</v>
      </c>
      <c r="R146">
        <v>6888.52</v>
      </c>
      <c r="S146" s="32">
        <v>-7.4000000000000003E-3</v>
      </c>
      <c r="T146">
        <v>716.24</v>
      </c>
      <c r="U146" s="32">
        <v>-2.41E-2</v>
      </c>
      <c r="V146">
        <v>769.25</v>
      </c>
      <c r="W146" s="32">
        <v>-6.5100000000000005E-2</v>
      </c>
      <c r="X146" s="158">
        <v>17208.75</v>
      </c>
      <c r="Y146" s="32">
        <v>-1.04E-2</v>
      </c>
      <c r="Z146" s="32"/>
      <c r="AA146" s="32"/>
      <c r="AB146" s="32"/>
      <c r="AC146" s="32"/>
      <c r="AD146" s="32"/>
      <c r="AE146" s="32"/>
      <c r="AF146" s="32"/>
      <c r="AH146" s="159"/>
      <c r="AI146" s="149"/>
      <c r="AJ146" s="150"/>
      <c r="AK146" s="150"/>
      <c r="AL146" s="150"/>
      <c r="AM146" s="151"/>
      <c r="AN146" s="152"/>
    </row>
    <row r="147" spans="1:40" ht="16.5" x14ac:dyDescent="0.35">
      <c r="A147" s="155">
        <v>45207</v>
      </c>
      <c r="B147">
        <v>933.1</v>
      </c>
      <c r="C147" s="32">
        <v>5.1999999999999998E-3</v>
      </c>
      <c r="D147">
        <v>40650</v>
      </c>
      <c r="E147" s="32">
        <v>4.1000000000000002E-2</v>
      </c>
      <c r="F147">
        <v>85</v>
      </c>
      <c r="G147" s="32">
        <v>-2.3E-2</v>
      </c>
      <c r="H147">
        <v>55.75</v>
      </c>
      <c r="I147" s="32">
        <v>-3.5000000000000003E-2</v>
      </c>
      <c r="J147">
        <v>9.7100000000000009</v>
      </c>
      <c r="K147" s="32">
        <v>-0.03</v>
      </c>
      <c r="L147">
        <v>721.9</v>
      </c>
      <c r="M147" s="32">
        <v>-2.1700000000000001E-2</v>
      </c>
      <c r="N147">
        <v>19751.05</v>
      </c>
      <c r="O147" s="32">
        <v>5.0000000000000001E-3</v>
      </c>
      <c r="P147">
        <v>13407.23</v>
      </c>
      <c r="Q147" s="32">
        <v>-1.8E-3</v>
      </c>
      <c r="R147">
        <v>6939.89</v>
      </c>
      <c r="S147" s="32">
        <v>-1.0999999999999999E-2</v>
      </c>
      <c r="T147">
        <v>733.9</v>
      </c>
      <c r="U147" s="32">
        <v>9.9000000000000008E-3</v>
      </c>
      <c r="V147">
        <v>822.78</v>
      </c>
      <c r="W147" s="32">
        <v>7.7999999999999996E-3</v>
      </c>
      <c r="X147" s="158">
        <v>17390.349999999999</v>
      </c>
      <c r="Y147" s="32">
        <v>5.5999999999999999E-3</v>
      </c>
      <c r="Z147" s="32"/>
      <c r="AA147" s="32"/>
      <c r="AB147" s="32"/>
      <c r="AC147" s="32"/>
      <c r="AD147" s="32"/>
      <c r="AE147" s="32"/>
      <c r="AF147" s="32"/>
      <c r="AH147" s="159"/>
      <c r="AI147" s="153"/>
      <c r="AJ147" s="150"/>
      <c r="AK147" s="150"/>
      <c r="AL147" s="150"/>
      <c r="AM147" s="151"/>
      <c r="AN147" s="154"/>
    </row>
    <row r="148" spans="1:40" ht="16.5" x14ac:dyDescent="0.35">
      <c r="A148" s="155">
        <v>45200</v>
      </c>
      <c r="B148">
        <v>928.3</v>
      </c>
      <c r="C148" s="32">
        <v>8.2299999999999998E-2</v>
      </c>
      <c r="D148">
        <v>39050</v>
      </c>
      <c r="E148" s="32">
        <v>-4.1700000000000001E-2</v>
      </c>
      <c r="F148">
        <v>87</v>
      </c>
      <c r="G148" s="32">
        <v>-5.4300000000000001E-2</v>
      </c>
      <c r="H148">
        <v>57.77</v>
      </c>
      <c r="I148" s="32">
        <v>-1.18E-2</v>
      </c>
      <c r="J148">
        <v>10.01</v>
      </c>
      <c r="K148" s="32">
        <v>-6.1899999999999997E-2</v>
      </c>
      <c r="L148">
        <v>737.9</v>
      </c>
      <c r="M148" s="32">
        <v>4.5600000000000002E-2</v>
      </c>
      <c r="N148">
        <v>19653.5</v>
      </c>
      <c r="O148" s="32">
        <v>8.0000000000000004E-4</v>
      </c>
      <c r="P148">
        <v>13431.34</v>
      </c>
      <c r="Q148" s="32">
        <v>1.6E-2</v>
      </c>
      <c r="R148">
        <v>7016.84</v>
      </c>
      <c r="S148" s="32">
        <v>4.8999999999999998E-3</v>
      </c>
      <c r="T148">
        <v>726.7</v>
      </c>
      <c r="U148" s="32">
        <v>-2.8999999999999998E-3</v>
      </c>
      <c r="V148">
        <v>816.39</v>
      </c>
      <c r="W148" s="32">
        <v>-2.93E-2</v>
      </c>
      <c r="X148" s="158">
        <v>17293.599999999999</v>
      </c>
      <c r="Y148" s="32">
        <v>1E-4</v>
      </c>
      <c r="Z148" s="32"/>
      <c r="AA148" s="32"/>
      <c r="AB148" s="32"/>
      <c r="AC148" s="32"/>
      <c r="AD148" s="32"/>
      <c r="AE148" s="32"/>
      <c r="AF148" s="32"/>
      <c r="AH148" s="159"/>
      <c r="AI148" s="153"/>
      <c r="AJ148" s="150"/>
      <c r="AK148" s="150"/>
      <c r="AL148" s="150"/>
      <c r="AM148" s="151"/>
      <c r="AN148" s="154"/>
    </row>
    <row r="149" spans="1:40" ht="16.5" x14ac:dyDescent="0.35">
      <c r="A149" s="155">
        <v>45193</v>
      </c>
      <c r="B149">
        <v>857.7</v>
      </c>
      <c r="C149" s="32">
        <v>9.1000000000000004E-3</v>
      </c>
      <c r="D149">
        <v>40750</v>
      </c>
      <c r="E149" s="32">
        <v>-2.86E-2</v>
      </c>
      <c r="F149">
        <v>92</v>
      </c>
      <c r="G149" s="32">
        <v>-1.0800000000000001E-2</v>
      </c>
      <c r="H149">
        <v>58.46</v>
      </c>
      <c r="I149" s="32">
        <v>0.01</v>
      </c>
      <c r="J149">
        <v>10.67</v>
      </c>
      <c r="K149" s="32">
        <v>2.8E-3</v>
      </c>
      <c r="L149">
        <v>705.7</v>
      </c>
      <c r="M149" s="32">
        <v>8.5500000000000007E-2</v>
      </c>
      <c r="N149">
        <v>19638.3</v>
      </c>
      <c r="O149" s="32">
        <v>-1.8E-3</v>
      </c>
      <c r="P149">
        <v>13219.32</v>
      </c>
      <c r="Q149" s="32">
        <v>5.9999999999999995E-4</v>
      </c>
      <c r="R149">
        <v>6982.79</v>
      </c>
      <c r="S149" s="32">
        <v>8.3999999999999995E-3</v>
      </c>
      <c r="T149">
        <v>728.79</v>
      </c>
      <c r="U149" s="32">
        <v>-1.8E-3</v>
      </c>
      <c r="V149">
        <v>841.02</v>
      </c>
      <c r="W149" s="32">
        <v>-1.9E-2</v>
      </c>
      <c r="X149" s="158">
        <v>17292.599999999999</v>
      </c>
      <c r="Y149" s="32">
        <v>1.8E-3</v>
      </c>
      <c r="Z149" s="32"/>
      <c r="AA149" s="32"/>
      <c r="AB149" s="32"/>
      <c r="AC149" s="32"/>
      <c r="AD149" s="32"/>
      <c r="AE149" s="32"/>
      <c r="AF149" s="32"/>
      <c r="AH149" s="159"/>
      <c r="AI149" s="153"/>
      <c r="AJ149" s="150"/>
      <c r="AK149" s="150"/>
      <c r="AL149" s="150"/>
      <c r="AM149" s="151"/>
      <c r="AN149" s="154"/>
    </row>
    <row r="150" spans="1:40" ht="16.5" x14ac:dyDescent="0.35">
      <c r="A150" s="155">
        <v>45186</v>
      </c>
      <c r="B150">
        <v>850</v>
      </c>
      <c r="C150" s="32">
        <v>-3.9699999999999999E-2</v>
      </c>
      <c r="D150">
        <v>41950</v>
      </c>
      <c r="E150" s="32">
        <v>-9.8799999999999999E-2</v>
      </c>
      <c r="F150">
        <v>93</v>
      </c>
      <c r="G150" s="32">
        <v>-2.1100000000000001E-2</v>
      </c>
      <c r="H150">
        <v>57.88</v>
      </c>
      <c r="I150" s="32">
        <v>-9.8599999999999993E-2</v>
      </c>
      <c r="J150">
        <v>10.64</v>
      </c>
      <c r="K150" s="32">
        <v>-6.3399999999999998E-2</v>
      </c>
      <c r="L150">
        <v>650.1</v>
      </c>
      <c r="M150" s="32">
        <v>-9.4399999999999998E-2</v>
      </c>
      <c r="N150">
        <v>19674.25</v>
      </c>
      <c r="O150" s="32">
        <v>-2.5700000000000001E-2</v>
      </c>
      <c r="P150">
        <v>13211.81</v>
      </c>
      <c r="Q150" s="32">
        <v>-3.6200000000000003E-2</v>
      </c>
      <c r="R150">
        <v>6924.78</v>
      </c>
      <c r="S150" s="32">
        <v>-7.6E-3</v>
      </c>
      <c r="T150">
        <v>730.09</v>
      </c>
      <c r="U150" s="32">
        <v>-1.54E-2</v>
      </c>
      <c r="V150">
        <v>857.35</v>
      </c>
      <c r="W150" s="32">
        <v>-4.6399999999999997E-2</v>
      </c>
      <c r="X150" s="158">
        <v>17260.8</v>
      </c>
      <c r="Y150" s="32">
        <v>-2.29E-2</v>
      </c>
      <c r="Z150" s="32"/>
      <c r="AA150" s="32"/>
      <c r="AB150" s="32"/>
      <c r="AC150" s="32"/>
      <c r="AD150" s="32"/>
      <c r="AE150" s="32"/>
      <c r="AF150" s="32"/>
      <c r="AH150" s="159"/>
      <c r="AI150" s="149"/>
      <c r="AJ150" s="150"/>
      <c r="AK150" s="150"/>
      <c r="AL150" s="150"/>
      <c r="AM150" s="151"/>
      <c r="AN150" s="152"/>
    </row>
    <row r="151" spans="1:40" ht="16.5" x14ac:dyDescent="0.35">
      <c r="A151" s="155">
        <v>45179</v>
      </c>
      <c r="B151">
        <v>885.15</v>
      </c>
      <c r="C151" s="32">
        <v>-2.24E-2</v>
      </c>
      <c r="D151">
        <v>46550</v>
      </c>
      <c r="E151" s="32">
        <v>4.4900000000000002E-2</v>
      </c>
      <c r="F151">
        <v>95</v>
      </c>
      <c r="G151" s="32">
        <v>0.13100000000000001</v>
      </c>
      <c r="H151">
        <v>64.209999999999994</v>
      </c>
      <c r="I151" s="32">
        <v>5.2999999999999999E-2</v>
      </c>
      <c r="J151">
        <v>11.36</v>
      </c>
      <c r="K151" s="32">
        <v>-1.1299999999999999E-2</v>
      </c>
      <c r="L151">
        <v>717.9</v>
      </c>
      <c r="M151" s="32">
        <v>-2.8400000000000002E-2</v>
      </c>
      <c r="N151">
        <v>20192.349999999999</v>
      </c>
      <c r="O151" s="32">
        <v>1.8800000000000001E-2</v>
      </c>
      <c r="P151">
        <v>13708.33</v>
      </c>
      <c r="Q151" s="32">
        <v>-3.8999999999999998E-3</v>
      </c>
      <c r="R151">
        <v>6977.65</v>
      </c>
      <c r="S151" s="32">
        <v>1.1900000000000001E-2</v>
      </c>
      <c r="T151">
        <v>741.51</v>
      </c>
      <c r="U151" s="32">
        <v>3.3E-3</v>
      </c>
      <c r="V151">
        <v>899.03</v>
      </c>
      <c r="W151" s="32">
        <v>-1.66E-2</v>
      </c>
      <c r="X151" s="158">
        <v>17665.8</v>
      </c>
      <c r="Y151" s="32">
        <v>1.0200000000000001E-2</v>
      </c>
      <c r="Z151" s="32"/>
      <c r="AA151" s="32"/>
      <c r="AB151" s="32"/>
      <c r="AC151" s="32"/>
      <c r="AD151" s="32"/>
      <c r="AE151" s="32"/>
      <c r="AF151" s="32"/>
      <c r="AH151" s="159"/>
      <c r="AI151" s="153"/>
      <c r="AJ151" s="150"/>
      <c r="AK151" s="150"/>
      <c r="AL151" s="150"/>
      <c r="AM151" s="151"/>
      <c r="AN151" s="154"/>
    </row>
    <row r="152" spans="1:40" ht="16.5" x14ac:dyDescent="0.35">
      <c r="A152" s="155">
        <v>45172</v>
      </c>
      <c r="B152">
        <v>905.4</v>
      </c>
      <c r="C152" s="32">
        <v>5.6000000000000001E-2</v>
      </c>
      <c r="D152">
        <v>44550</v>
      </c>
      <c r="E152" s="32">
        <v>-1.7600000000000001E-2</v>
      </c>
      <c r="F152">
        <v>84</v>
      </c>
      <c r="G152" s="32">
        <v>-8.6999999999999994E-2</v>
      </c>
      <c r="H152">
        <v>60.98</v>
      </c>
      <c r="I152" s="32">
        <v>-4.07E-2</v>
      </c>
      <c r="J152">
        <v>11.49</v>
      </c>
      <c r="K152" s="32">
        <v>-8.3699999999999997E-2</v>
      </c>
      <c r="L152">
        <v>738.9</v>
      </c>
      <c r="M152" s="32">
        <v>-4.8899999999999999E-2</v>
      </c>
      <c r="N152">
        <v>19819.95</v>
      </c>
      <c r="O152" s="32">
        <v>1.9800000000000002E-2</v>
      </c>
      <c r="P152">
        <v>13761.53</v>
      </c>
      <c r="Q152" s="32">
        <v>-1.9300000000000001E-2</v>
      </c>
      <c r="R152">
        <v>6895.44</v>
      </c>
      <c r="S152" s="32">
        <v>5.1999999999999998E-3</v>
      </c>
      <c r="T152">
        <v>739.09</v>
      </c>
      <c r="U152" s="32">
        <v>-9.2999999999999992E-3</v>
      </c>
      <c r="V152">
        <v>914.18</v>
      </c>
      <c r="W152" s="32">
        <v>-6.0000000000000001E-3</v>
      </c>
      <c r="X152" s="158">
        <v>17487.45</v>
      </c>
      <c r="Y152" s="32">
        <v>2.4199999999999999E-2</v>
      </c>
      <c r="Z152" s="32"/>
      <c r="AA152" s="32"/>
      <c r="AB152" s="32"/>
      <c r="AC152" s="32"/>
      <c r="AD152" s="32"/>
      <c r="AE152" s="32"/>
      <c r="AF152" s="32"/>
      <c r="AH152" s="159"/>
      <c r="AI152" s="153"/>
      <c r="AJ152" s="150"/>
      <c r="AK152" s="150"/>
      <c r="AL152" s="150"/>
      <c r="AM152" s="151"/>
      <c r="AN152" s="154"/>
    </row>
    <row r="153" spans="1:40" ht="16.5" x14ac:dyDescent="0.35">
      <c r="A153" s="155">
        <v>45165</v>
      </c>
      <c r="B153">
        <v>857.4</v>
      </c>
      <c r="C153" s="32">
        <v>-4.65E-2</v>
      </c>
      <c r="D153">
        <v>45350</v>
      </c>
      <c r="E153" s="32">
        <v>5.7099999999999998E-2</v>
      </c>
      <c r="F153">
        <v>92</v>
      </c>
      <c r="G153" s="32">
        <v>1.0999999999999999E-2</v>
      </c>
      <c r="H153">
        <v>63.57</v>
      </c>
      <c r="I153" s="32">
        <v>3.8899999999999997E-2</v>
      </c>
      <c r="J153">
        <v>12.54</v>
      </c>
      <c r="K153" s="32">
        <v>2.87E-2</v>
      </c>
      <c r="L153">
        <v>776.9</v>
      </c>
      <c r="M153" s="32">
        <v>1.5599999999999999E-2</v>
      </c>
      <c r="N153">
        <v>19435.3</v>
      </c>
      <c r="O153" s="32">
        <v>8.8000000000000005E-3</v>
      </c>
      <c r="P153">
        <v>14031.82</v>
      </c>
      <c r="Q153" s="32">
        <v>3.2500000000000001E-2</v>
      </c>
      <c r="R153">
        <v>6859.91</v>
      </c>
      <c r="S153" s="32">
        <v>-2.8999999999999998E-3</v>
      </c>
      <c r="T153">
        <v>746.05</v>
      </c>
      <c r="U153" s="32">
        <v>1.7299999999999999E-2</v>
      </c>
      <c r="V153">
        <v>919.74</v>
      </c>
      <c r="W153" s="32">
        <v>2.2599999999999999E-2</v>
      </c>
      <c r="X153" s="158">
        <v>17074.55</v>
      </c>
      <c r="Y153" s="32">
        <v>1.5100000000000001E-2</v>
      </c>
      <c r="Z153" s="32"/>
      <c r="AA153" s="32"/>
      <c r="AB153" s="32"/>
      <c r="AC153" s="32"/>
      <c r="AD153" s="32"/>
      <c r="AE153" s="32"/>
      <c r="AF153" s="32"/>
      <c r="AH153" s="159"/>
      <c r="AI153" s="153"/>
      <c r="AJ153" s="150"/>
      <c r="AK153" s="150"/>
      <c r="AL153" s="150"/>
      <c r="AM153" s="151"/>
      <c r="AN153" s="154"/>
    </row>
    <row r="154" spans="1:40" ht="16.5" x14ac:dyDescent="0.35">
      <c r="A154" s="155">
        <v>45158</v>
      </c>
      <c r="B154">
        <v>899.2</v>
      </c>
      <c r="C154" s="32">
        <v>4.58E-2</v>
      </c>
      <c r="D154">
        <v>42900</v>
      </c>
      <c r="E154" s="32">
        <v>-3.6999999999999998E-2</v>
      </c>
      <c r="F154">
        <v>91</v>
      </c>
      <c r="G154" s="32">
        <v>-0.15740000000000001</v>
      </c>
      <c r="H154">
        <v>61.19</v>
      </c>
      <c r="I154" s="32">
        <v>2.98E-2</v>
      </c>
      <c r="J154">
        <v>12.19</v>
      </c>
      <c r="K154" s="32">
        <v>-1.06E-2</v>
      </c>
      <c r="L154">
        <v>765</v>
      </c>
      <c r="M154" s="32">
        <v>-0.1227</v>
      </c>
      <c r="N154">
        <v>19265.8</v>
      </c>
      <c r="O154" s="32">
        <v>-2.3E-3</v>
      </c>
      <c r="P154">
        <v>13590.65</v>
      </c>
      <c r="Q154" s="32">
        <v>2.2599999999999999E-2</v>
      </c>
      <c r="R154">
        <v>6879.98</v>
      </c>
      <c r="S154" s="32">
        <v>4.0000000000000001E-3</v>
      </c>
      <c r="T154">
        <v>733.37</v>
      </c>
      <c r="U154" s="32">
        <v>-2.3E-3</v>
      </c>
      <c r="V154">
        <v>899.38</v>
      </c>
      <c r="W154" s="32">
        <v>2.5100000000000001E-2</v>
      </c>
      <c r="X154" s="158">
        <v>16820.849999999999</v>
      </c>
      <c r="Y154" s="32">
        <v>3.8E-3</v>
      </c>
      <c r="Z154" s="32"/>
      <c r="AA154" s="32"/>
      <c r="AB154" s="32"/>
      <c r="AC154" s="32"/>
      <c r="AD154" s="32"/>
      <c r="AE154" s="32"/>
      <c r="AF154" s="32"/>
      <c r="AH154" s="159"/>
      <c r="AI154" s="153"/>
      <c r="AJ154" s="150"/>
      <c r="AK154" s="150"/>
      <c r="AL154" s="150"/>
      <c r="AM154" s="151"/>
      <c r="AN154" s="154"/>
    </row>
    <row r="155" spans="1:40" ht="16.5" x14ac:dyDescent="0.35">
      <c r="A155" s="155">
        <v>45151</v>
      </c>
      <c r="B155">
        <v>859.85</v>
      </c>
      <c r="C155" s="32">
        <v>-5.4000000000000003E-3</v>
      </c>
      <c r="D155">
        <v>44550</v>
      </c>
      <c r="E155" s="32">
        <v>-8.43E-2</v>
      </c>
      <c r="F155">
        <v>108</v>
      </c>
      <c r="G155" s="32">
        <v>-2.7E-2</v>
      </c>
      <c r="H155">
        <v>59.42</v>
      </c>
      <c r="I155" s="32">
        <v>-3.44E-2</v>
      </c>
      <c r="J155">
        <v>12.32</v>
      </c>
      <c r="K155" s="32">
        <v>-9.4100000000000003E-2</v>
      </c>
      <c r="L155">
        <v>872</v>
      </c>
      <c r="M155" s="32">
        <v>-0.44030000000000002</v>
      </c>
      <c r="N155">
        <v>19310.150000000001</v>
      </c>
      <c r="O155" s="32">
        <v>-6.1000000000000004E-3</v>
      </c>
      <c r="P155">
        <v>13290.78</v>
      </c>
      <c r="Q155" s="32">
        <v>-2.5899999999999999E-2</v>
      </c>
      <c r="R155">
        <v>6852.84</v>
      </c>
      <c r="S155" s="32">
        <v>-6.8999999999999999E-3</v>
      </c>
      <c r="T155">
        <v>735.04</v>
      </c>
      <c r="U155" s="32">
        <v>-3.9399999999999998E-2</v>
      </c>
      <c r="V155">
        <v>877.32</v>
      </c>
      <c r="W155" s="32">
        <v>-3.8199999999999998E-2</v>
      </c>
      <c r="X155" s="158">
        <v>16757.7</v>
      </c>
      <c r="Y155" s="32">
        <v>-6.1000000000000004E-3</v>
      </c>
      <c r="Z155" s="32"/>
      <c r="AA155" s="32"/>
      <c r="AB155" s="32"/>
      <c r="AC155" s="32"/>
      <c r="AD155" s="32"/>
      <c r="AE155" s="32"/>
      <c r="AF155" s="32"/>
      <c r="AH155" s="159"/>
      <c r="AI155" s="149"/>
      <c r="AJ155" s="150"/>
      <c r="AK155" s="150"/>
      <c r="AL155" s="150"/>
      <c r="AM155" s="151"/>
      <c r="AN155" s="152"/>
    </row>
    <row r="156" spans="1:40" ht="16.5" x14ac:dyDescent="0.35">
      <c r="A156" s="155">
        <v>45144</v>
      </c>
      <c r="B156">
        <v>864.55</v>
      </c>
      <c r="C156" s="32">
        <v>8.5300000000000001E-2</v>
      </c>
      <c r="D156">
        <v>48650</v>
      </c>
      <c r="E156" s="32">
        <v>1.04E-2</v>
      </c>
      <c r="F156">
        <v>111</v>
      </c>
      <c r="G156" s="32">
        <v>-1.77E-2</v>
      </c>
      <c r="H156">
        <v>61.54</v>
      </c>
      <c r="I156" s="32">
        <v>-1.9300000000000001E-2</v>
      </c>
      <c r="J156">
        <v>13.6</v>
      </c>
      <c r="K156" s="32">
        <v>8.2000000000000007E-3</v>
      </c>
      <c r="L156">
        <v>1558</v>
      </c>
      <c r="M156" s="32">
        <v>-1.5699999999999999E-2</v>
      </c>
      <c r="N156">
        <v>19428.3</v>
      </c>
      <c r="O156" s="32">
        <v>-4.4999999999999997E-3</v>
      </c>
      <c r="P156">
        <v>13644.85</v>
      </c>
      <c r="Q156" s="32">
        <v>-1.78E-2</v>
      </c>
      <c r="R156">
        <v>6900.23</v>
      </c>
      <c r="S156" s="32">
        <v>2.8E-3</v>
      </c>
      <c r="T156">
        <v>765.16</v>
      </c>
      <c r="U156" s="32">
        <v>-9.7999999999999997E-3</v>
      </c>
      <c r="V156">
        <v>912.2</v>
      </c>
      <c r="W156" s="32">
        <v>-6.7999999999999996E-3</v>
      </c>
      <c r="X156" s="158">
        <v>16860.150000000001</v>
      </c>
      <c r="Y156" s="32">
        <v>-1.8E-3</v>
      </c>
      <c r="Z156" s="32"/>
      <c r="AA156" s="32"/>
      <c r="AB156" s="32"/>
      <c r="AC156" s="32"/>
      <c r="AD156" s="32"/>
      <c r="AE156" s="32"/>
      <c r="AF156" s="32"/>
      <c r="AH156" s="159"/>
      <c r="AI156" s="149"/>
      <c r="AJ156" s="150"/>
      <c r="AK156" s="150"/>
      <c r="AL156" s="150"/>
      <c r="AM156" s="151"/>
      <c r="AN156" s="152"/>
    </row>
    <row r="157" spans="1:40" ht="16.5" x14ac:dyDescent="0.35">
      <c r="A157" s="155">
        <v>45137</v>
      </c>
      <c r="B157">
        <v>796.6</v>
      </c>
      <c r="C157" s="32">
        <v>4.4200000000000003E-2</v>
      </c>
      <c r="D157">
        <v>48150</v>
      </c>
      <c r="E157" s="32">
        <v>-1.43E-2</v>
      </c>
      <c r="F157">
        <v>113</v>
      </c>
      <c r="G157" s="32">
        <v>0</v>
      </c>
      <c r="H157">
        <v>62.75</v>
      </c>
      <c r="I157" s="32">
        <v>-0.15179999999999999</v>
      </c>
      <c r="J157">
        <v>13.49</v>
      </c>
      <c r="K157" s="32">
        <v>-2.3199999999999998E-2</v>
      </c>
      <c r="L157">
        <v>1582.8</v>
      </c>
      <c r="M157" s="32">
        <v>-5.45E-2</v>
      </c>
      <c r="N157">
        <v>19517</v>
      </c>
      <c r="O157" s="32">
        <v>-6.6E-3</v>
      </c>
      <c r="P157">
        <v>13892.07</v>
      </c>
      <c r="Q157" s="32">
        <v>-2.9700000000000001E-2</v>
      </c>
      <c r="R157">
        <v>6880.8</v>
      </c>
      <c r="S157" s="32">
        <v>1.6000000000000001E-3</v>
      </c>
      <c r="T157">
        <v>772.71</v>
      </c>
      <c r="U157" s="32">
        <v>-2.7099999999999999E-2</v>
      </c>
      <c r="V157">
        <v>918.43</v>
      </c>
      <c r="W157" s="32">
        <v>5.1000000000000004E-3</v>
      </c>
      <c r="X157" s="158">
        <v>16890.599999999999</v>
      </c>
      <c r="Y157" s="32">
        <v>-3.3999999999999998E-3</v>
      </c>
      <c r="Z157" s="32"/>
      <c r="AA157" s="32"/>
      <c r="AB157" s="32"/>
      <c r="AC157" s="32"/>
      <c r="AD157" s="32"/>
      <c r="AE157" s="32"/>
      <c r="AF157" s="32"/>
      <c r="AH157" s="159"/>
      <c r="AI157" s="149"/>
      <c r="AJ157" s="150"/>
      <c r="AK157" s="150"/>
      <c r="AL157" s="150"/>
      <c r="AM157" s="151"/>
      <c r="AN157" s="152"/>
    </row>
    <row r="158" spans="1:40" ht="16.5" x14ac:dyDescent="0.35">
      <c r="A158" s="155">
        <v>45130</v>
      </c>
      <c r="B158">
        <v>762.9</v>
      </c>
      <c r="C158" s="32">
        <v>-9.64E-2</v>
      </c>
      <c r="D158">
        <v>48850</v>
      </c>
      <c r="E158" s="32">
        <v>-3.27E-2</v>
      </c>
      <c r="F158">
        <v>113</v>
      </c>
      <c r="G158" s="32">
        <v>4.6300000000000001E-2</v>
      </c>
      <c r="H158">
        <v>73.98</v>
      </c>
      <c r="I158" s="32">
        <v>1.3599999999999999E-2</v>
      </c>
      <c r="J158">
        <v>13.81</v>
      </c>
      <c r="K158" s="32">
        <v>5.5E-2</v>
      </c>
      <c r="L158">
        <v>1674</v>
      </c>
      <c r="M158" s="32">
        <v>8.3199999999999996E-2</v>
      </c>
      <c r="N158">
        <v>19646.05</v>
      </c>
      <c r="O158" s="32">
        <v>-5.0000000000000001E-3</v>
      </c>
      <c r="P158">
        <v>14316.66</v>
      </c>
      <c r="Q158" s="32">
        <v>2.0199999999999999E-2</v>
      </c>
      <c r="R158">
        <v>6869.57</v>
      </c>
      <c r="S158" s="32">
        <v>2.2800000000000001E-2</v>
      </c>
      <c r="T158">
        <v>794.27</v>
      </c>
      <c r="U158" s="32">
        <v>2.6499999999999999E-2</v>
      </c>
      <c r="V158">
        <v>913.74</v>
      </c>
      <c r="W158" s="32">
        <v>-2.23E-2</v>
      </c>
      <c r="X158" s="158">
        <v>16948.349999999999</v>
      </c>
      <c r="Y158" s="32">
        <v>2.5999999999999999E-3</v>
      </c>
      <c r="Z158" s="32"/>
      <c r="AA158" s="32"/>
      <c r="AB158" s="32"/>
      <c r="AC158" s="32"/>
      <c r="AD158" s="32"/>
      <c r="AE158" s="32"/>
      <c r="AF158" s="32"/>
      <c r="AH158" s="159"/>
      <c r="AI158" s="153"/>
      <c r="AJ158" s="150"/>
      <c r="AK158" s="150"/>
      <c r="AL158" s="150"/>
      <c r="AM158" s="151"/>
      <c r="AN158" s="154"/>
    </row>
    <row r="159" spans="1:40" ht="16.5" x14ac:dyDescent="0.35">
      <c r="A159" s="155">
        <v>45123</v>
      </c>
      <c r="B159">
        <v>844.3</v>
      </c>
      <c r="C159" s="32">
        <v>-7.6E-3</v>
      </c>
      <c r="D159">
        <v>50500</v>
      </c>
      <c r="E159" s="32">
        <v>-9.7999999999999997E-3</v>
      </c>
      <c r="F159">
        <v>108</v>
      </c>
      <c r="G159" s="32">
        <v>-1.8200000000000001E-2</v>
      </c>
      <c r="H159">
        <v>72.989999999999995</v>
      </c>
      <c r="I159" s="32">
        <v>1.23E-2</v>
      </c>
      <c r="J159">
        <v>13.09</v>
      </c>
      <c r="K159" s="32">
        <v>7.5600000000000001E-2</v>
      </c>
      <c r="L159">
        <v>1545.4</v>
      </c>
      <c r="M159" s="32">
        <v>-1.4200000000000001E-2</v>
      </c>
      <c r="N159">
        <v>19745</v>
      </c>
      <c r="O159" s="32">
        <v>9.1999999999999998E-3</v>
      </c>
      <c r="P159">
        <v>14032.8</v>
      </c>
      <c r="Q159" s="32">
        <v>-5.7000000000000002E-3</v>
      </c>
      <c r="R159">
        <v>6716.46</v>
      </c>
      <c r="S159" s="32">
        <v>8.2000000000000007E-3</v>
      </c>
      <c r="T159">
        <v>773.75</v>
      </c>
      <c r="U159" s="32">
        <v>-6.7000000000000002E-3</v>
      </c>
      <c r="V159">
        <v>934.58</v>
      </c>
      <c r="W159" s="32">
        <v>4.2700000000000002E-2</v>
      </c>
      <c r="X159" s="158">
        <v>16904.3</v>
      </c>
      <c r="Y159" s="32">
        <v>8.3000000000000001E-3</v>
      </c>
      <c r="Z159" s="32"/>
      <c r="AA159" s="32"/>
      <c r="AB159" s="32"/>
      <c r="AC159" s="32"/>
      <c r="AD159" s="32"/>
      <c r="AE159" s="32"/>
      <c r="AF159" s="32"/>
      <c r="AH159" s="159"/>
      <c r="AI159" s="153"/>
      <c r="AJ159" s="150"/>
      <c r="AK159" s="150"/>
      <c r="AL159" s="150"/>
      <c r="AM159" s="151"/>
      <c r="AN159" s="154"/>
    </row>
    <row r="160" spans="1:40" ht="16.5" x14ac:dyDescent="0.35">
      <c r="A160" s="155">
        <v>45116</v>
      </c>
      <c r="B160">
        <v>850.75</v>
      </c>
      <c r="C160" s="32">
        <v>1E-4</v>
      </c>
      <c r="D160">
        <v>51000</v>
      </c>
      <c r="E160" s="32">
        <v>0.1135</v>
      </c>
      <c r="F160">
        <v>110</v>
      </c>
      <c r="G160" s="32">
        <v>-2.6499999999999999E-2</v>
      </c>
      <c r="H160">
        <v>72.099999999999994</v>
      </c>
      <c r="I160" s="32">
        <v>7.9500000000000001E-2</v>
      </c>
      <c r="J160">
        <v>12.17</v>
      </c>
      <c r="K160" s="32">
        <v>7.5999999999999998E-2</v>
      </c>
      <c r="L160">
        <v>1567.6</v>
      </c>
      <c r="M160" s="32">
        <v>7.22E-2</v>
      </c>
      <c r="N160">
        <v>19564.5</v>
      </c>
      <c r="O160" s="32">
        <v>1.2E-2</v>
      </c>
      <c r="P160">
        <v>14113.7</v>
      </c>
      <c r="Q160" s="32">
        <v>3.32E-2</v>
      </c>
      <c r="R160">
        <v>6661.88</v>
      </c>
      <c r="S160" s="32">
        <v>3.3E-3</v>
      </c>
      <c r="T160">
        <v>778.93</v>
      </c>
      <c r="U160" s="32">
        <v>3.3700000000000001E-2</v>
      </c>
      <c r="V160">
        <v>896.28</v>
      </c>
      <c r="W160" s="32">
        <v>3.3399999999999999E-2</v>
      </c>
      <c r="X160" s="158">
        <v>16765.45</v>
      </c>
      <c r="Y160" s="32">
        <v>1.21E-2</v>
      </c>
      <c r="Z160" s="32"/>
      <c r="AA160" s="32"/>
      <c r="AB160" s="32"/>
      <c r="AC160" s="32"/>
      <c r="AD160" s="32"/>
      <c r="AE160" s="32"/>
      <c r="AF160" s="32"/>
      <c r="AH160" s="159"/>
      <c r="AI160" s="153"/>
      <c r="AJ160" s="150"/>
      <c r="AK160" s="150"/>
      <c r="AL160" s="150"/>
      <c r="AM160" s="151"/>
      <c r="AN160" s="154"/>
    </row>
    <row r="161" spans="1:40" ht="16.5" x14ac:dyDescent="0.35">
      <c r="A161" s="155">
        <v>45109</v>
      </c>
      <c r="B161">
        <v>850.7</v>
      </c>
      <c r="C161" s="32">
        <v>-1.9800000000000002E-2</v>
      </c>
      <c r="D161">
        <v>45800</v>
      </c>
      <c r="E161" s="32">
        <v>-2.5499999999999998E-2</v>
      </c>
      <c r="F161">
        <v>113</v>
      </c>
      <c r="G161" s="32">
        <v>-3.4200000000000001E-2</v>
      </c>
      <c r="H161">
        <v>66.790000000000006</v>
      </c>
      <c r="I161" s="32">
        <v>8.9999999999999998E-4</v>
      </c>
      <c r="J161">
        <v>11.31</v>
      </c>
      <c r="K161" s="32">
        <v>-0.11219999999999999</v>
      </c>
      <c r="L161">
        <v>1462</v>
      </c>
      <c r="M161" s="32">
        <v>-7.8100000000000003E-2</v>
      </c>
      <c r="N161">
        <v>19331.8</v>
      </c>
      <c r="O161" s="32">
        <v>7.4000000000000003E-3</v>
      </c>
      <c r="P161">
        <v>13660.72</v>
      </c>
      <c r="Q161" s="32">
        <v>-9.1999999999999998E-3</v>
      </c>
      <c r="R161">
        <v>6639.73</v>
      </c>
      <c r="S161" s="32">
        <v>-8.8000000000000005E-3</v>
      </c>
      <c r="T161">
        <v>753.52</v>
      </c>
      <c r="U161" s="32">
        <v>-2.64E-2</v>
      </c>
      <c r="V161">
        <v>867.27</v>
      </c>
      <c r="W161" s="32">
        <v>-1.1000000000000001E-3</v>
      </c>
      <c r="X161" s="158">
        <v>16564.900000000001</v>
      </c>
      <c r="Y161" s="32">
        <v>8.2000000000000007E-3</v>
      </c>
      <c r="Z161" s="32"/>
      <c r="AA161" s="32"/>
      <c r="AB161" s="32"/>
      <c r="AC161" s="32"/>
      <c r="AD161" s="32"/>
      <c r="AE161" s="32"/>
      <c r="AF161" s="32"/>
      <c r="AH161" s="159"/>
      <c r="AI161" s="153"/>
      <c r="AJ161" s="150"/>
      <c r="AK161" s="150"/>
      <c r="AL161" s="150"/>
      <c r="AM161" s="151"/>
      <c r="AN161" s="154"/>
    </row>
    <row r="162" spans="1:40" ht="16.5" x14ac:dyDescent="0.35">
      <c r="A162" s="155">
        <v>45102</v>
      </c>
      <c r="B162">
        <v>867.85</v>
      </c>
      <c r="C162" s="32">
        <v>3.1099999999999999E-2</v>
      </c>
      <c r="D162">
        <v>47000</v>
      </c>
      <c r="E162" s="32">
        <v>-2.0999999999999999E-3</v>
      </c>
      <c r="F162">
        <v>117</v>
      </c>
      <c r="G162" s="32">
        <v>-7.8700000000000006E-2</v>
      </c>
      <c r="H162">
        <v>66.73</v>
      </c>
      <c r="I162" s="32">
        <v>-3.0999999999999999E-3</v>
      </c>
      <c r="J162">
        <v>12.74</v>
      </c>
      <c r="K162" s="32">
        <v>-5.9799999999999999E-2</v>
      </c>
      <c r="L162">
        <v>1585.8</v>
      </c>
      <c r="M162" s="32">
        <v>2.9600000000000001E-2</v>
      </c>
      <c r="N162">
        <v>19189.05</v>
      </c>
      <c r="O162" s="32">
        <v>2.8000000000000001E-2</v>
      </c>
      <c r="P162">
        <v>13787.92</v>
      </c>
      <c r="Q162" s="32">
        <v>2.1899999999999999E-2</v>
      </c>
      <c r="R162">
        <v>6698.55</v>
      </c>
      <c r="S162" s="32">
        <v>6.9999999999999999E-4</v>
      </c>
      <c r="T162">
        <v>773.94</v>
      </c>
      <c r="U162" s="32">
        <v>2.29E-2</v>
      </c>
      <c r="V162">
        <v>868.24</v>
      </c>
      <c r="W162" s="32">
        <v>-7.4999999999999997E-3</v>
      </c>
      <c r="X162" s="158">
        <v>16430</v>
      </c>
      <c r="Y162" s="32">
        <v>2.6100000000000002E-2</v>
      </c>
      <c r="Z162" s="32"/>
      <c r="AA162" s="32"/>
      <c r="AB162" s="32"/>
      <c r="AC162" s="32"/>
      <c r="AD162" s="32"/>
      <c r="AE162" s="32"/>
      <c r="AF162" s="32"/>
      <c r="AH162" s="159"/>
      <c r="AI162" s="153"/>
      <c r="AJ162" s="150"/>
      <c r="AK162" s="150"/>
      <c r="AL162" s="150"/>
      <c r="AM162" s="151"/>
      <c r="AN162" s="154"/>
    </row>
    <row r="163" spans="1:40" ht="16.5" x14ac:dyDescent="0.35">
      <c r="A163" s="155">
        <v>45095</v>
      </c>
      <c r="B163">
        <v>841.7</v>
      </c>
      <c r="C163" s="32">
        <v>-5.9700000000000003E-2</v>
      </c>
      <c r="D163">
        <v>47100</v>
      </c>
      <c r="E163" s="32">
        <v>-0.1278</v>
      </c>
      <c r="F163">
        <v>127</v>
      </c>
      <c r="G163" s="32">
        <v>-0.1361</v>
      </c>
      <c r="H163">
        <v>66.94</v>
      </c>
      <c r="I163" s="32">
        <v>7.7000000000000002E-3</v>
      </c>
      <c r="J163">
        <v>13.55</v>
      </c>
      <c r="K163" s="32">
        <v>2.2000000000000001E-3</v>
      </c>
      <c r="L163">
        <v>1540.2</v>
      </c>
      <c r="M163" s="32">
        <v>-2.5100000000000001E-2</v>
      </c>
      <c r="N163">
        <v>18665.5</v>
      </c>
      <c r="O163" s="32">
        <v>-8.5000000000000006E-3</v>
      </c>
      <c r="P163">
        <v>13492.52</v>
      </c>
      <c r="Q163" s="32">
        <v>-1.44E-2</v>
      </c>
      <c r="R163">
        <v>6694.02</v>
      </c>
      <c r="S163" s="32">
        <v>9.1999999999999998E-3</v>
      </c>
      <c r="T163">
        <v>756.6</v>
      </c>
      <c r="U163" s="32">
        <v>-2.0899999999999998E-2</v>
      </c>
      <c r="V163">
        <v>874.84</v>
      </c>
      <c r="W163" s="32">
        <v>-1.4800000000000001E-2</v>
      </c>
      <c r="X163" s="158">
        <v>16011.8</v>
      </c>
      <c r="Y163" s="32">
        <v>-1.0500000000000001E-2</v>
      </c>
      <c r="Z163" s="32"/>
      <c r="AA163" s="32"/>
      <c r="AB163" s="32"/>
      <c r="AC163" s="32"/>
      <c r="AD163" s="32"/>
      <c r="AE163" s="32"/>
      <c r="AF163" s="32"/>
      <c r="AH163" s="159"/>
      <c r="AI163" s="149"/>
      <c r="AJ163" s="150"/>
      <c r="AK163" s="150"/>
      <c r="AL163" s="150"/>
      <c r="AM163" s="151"/>
      <c r="AN163" s="152"/>
    </row>
    <row r="164" spans="1:40" ht="16.5" x14ac:dyDescent="0.35">
      <c r="A164" s="155">
        <v>45088</v>
      </c>
      <c r="B164">
        <v>895.15</v>
      </c>
      <c r="C164" s="32">
        <v>9.9299999999999999E-2</v>
      </c>
      <c r="D164">
        <v>54000</v>
      </c>
      <c r="E164" s="32">
        <v>-1.8200000000000001E-2</v>
      </c>
      <c r="F164">
        <v>147</v>
      </c>
      <c r="G164" s="32">
        <v>0.41349999999999998</v>
      </c>
      <c r="H164">
        <v>66.430000000000007</v>
      </c>
      <c r="I164" s="32">
        <v>4.6300000000000001E-2</v>
      </c>
      <c r="J164">
        <v>13.52</v>
      </c>
      <c r="K164" s="32">
        <v>6.4600000000000005E-2</v>
      </c>
      <c r="L164">
        <v>1579.8</v>
      </c>
      <c r="M164" s="32">
        <v>1.2999999999999999E-3</v>
      </c>
      <c r="N164">
        <v>18826</v>
      </c>
      <c r="O164" s="32">
        <v>1.41E-2</v>
      </c>
      <c r="P164">
        <v>13689.57</v>
      </c>
      <c r="Q164" s="32">
        <v>3.2500000000000001E-2</v>
      </c>
      <c r="R164">
        <v>6633.26</v>
      </c>
      <c r="S164" s="32">
        <v>-8.0000000000000002E-3</v>
      </c>
      <c r="T164">
        <v>772.72</v>
      </c>
      <c r="U164" s="32">
        <v>1.7600000000000001E-2</v>
      </c>
      <c r="V164">
        <v>887.95</v>
      </c>
      <c r="W164" s="32">
        <v>4.7999999999999996E-3</v>
      </c>
      <c r="X164" s="158">
        <v>16181.45</v>
      </c>
      <c r="Y164" s="32">
        <v>1.9099999999999999E-2</v>
      </c>
      <c r="Z164" s="32"/>
      <c r="AA164" s="32"/>
      <c r="AB164" s="32"/>
      <c r="AC164" s="32"/>
      <c r="AD164" s="32"/>
      <c r="AE164" s="32"/>
      <c r="AF164" s="32"/>
      <c r="AH164" s="159"/>
      <c r="AI164" s="153"/>
      <c r="AJ164" s="150"/>
      <c r="AK164" s="150"/>
      <c r="AL164" s="150"/>
      <c r="AM164" s="151"/>
      <c r="AN164" s="154"/>
    </row>
    <row r="165" spans="1:40" ht="16.5" x14ac:dyDescent="0.35">
      <c r="A165" s="155">
        <v>45081</v>
      </c>
      <c r="B165">
        <v>814.3</v>
      </c>
      <c r="C165" s="32">
        <v>0.13569999999999999</v>
      </c>
      <c r="D165">
        <v>55000</v>
      </c>
      <c r="E165" s="32">
        <v>-5.1700000000000003E-2</v>
      </c>
      <c r="F165">
        <v>104</v>
      </c>
      <c r="G165" s="32">
        <v>-9.5699999999999993E-2</v>
      </c>
      <c r="H165">
        <v>63.49</v>
      </c>
      <c r="I165" s="32">
        <v>-7.3000000000000001E-3</v>
      </c>
      <c r="J165">
        <v>12.7</v>
      </c>
      <c r="K165" s="32">
        <v>-2.23E-2</v>
      </c>
      <c r="L165">
        <v>1577.8</v>
      </c>
      <c r="M165" s="32">
        <v>-2.7000000000000001E-3</v>
      </c>
      <c r="N165">
        <v>18563.400000000001</v>
      </c>
      <c r="O165" s="32">
        <v>1.6000000000000001E-3</v>
      </c>
      <c r="P165">
        <v>13259.14</v>
      </c>
      <c r="Q165" s="32">
        <v>1.4E-3</v>
      </c>
      <c r="R165">
        <v>6687</v>
      </c>
      <c r="S165" s="32">
        <v>-2E-3</v>
      </c>
      <c r="T165">
        <v>759.32</v>
      </c>
      <c r="U165" s="32">
        <v>-7.3000000000000001E-3</v>
      </c>
      <c r="V165">
        <v>883.71</v>
      </c>
      <c r="W165" s="32">
        <v>1.7999999999999999E-2</v>
      </c>
      <c r="X165" s="158">
        <v>15877.4</v>
      </c>
      <c r="Y165" s="32">
        <v>4.1999999999999997E-3</v>
      </c>
      <c r="Z165" s="32"/>
      <c r="AA165" s="32"/>
      <c r="AB165" s="32"/>
      <c r="AC165" s="32"/>
      <c r="AD165" s="32"/>
      <c r="AE165" s="32"/>
      <c r="AF165" s="32"/>
      <c r="AH165" s="159"/>
      <c r="AI165" s="153"/>
      <c r="AJ165" s="150"/>
      <c r="AK165" s="150"/>
      <c r="AL165" s="150"/>
      <c r="AM165" s="151"/>
      <c r="AN165" s="154"/>
    </row>
    <row r="166" spans="1:40" ht="16.5" x14ac:dyDescent="0.35">
      <c r="A166" s="155">
        <v>45074</v>
      </c>
      <c r="B166">
        <v>717</v>
      </c>
      <c r="C166" s="32">
        <v>1.54E-2</v>
      </c>
      <c r="D166">
        <v>58000</v>
      </c>
      <c r="E166" s="32">
        <v>3.9399999999999998E-2</v>
      </c>
      <c r="F166">
        <v>115</v>
      </c>
      <c r="G166" s="32">
        <v>-8.6E-3</v>
      </c>
      <c r="H166">
        <v>63.96</v>
      </c>
      <c r="I166" s="32">
        <v>6.2100000000000002E-2</v>
      </c>
      <c r="J166">
        <v>12.99</v>
      </c>
      <c r="K166" s="32">
        <v>5.9499999999999997E-2</v>
      </c>
      <c r="L166">
        <v>1582</v>
      </c>
      <c r="M166" s="32">
        <v>3.5099999999999999E-2</v>
      </c>
      <c r="N166">
        <v>18534.099999999999</v>
      </c>
      <c r="O166" s="32">
        <v>1.9E-3</v>
      </c>
      <c r="P166">
        <v>13240.77</v>
      </c>
      <c r="Q166" s="32">
        <v>2.0400000000000001E-2</v>
      </c>
      <c r="R166">
        <v>6700.56</v>
      </c>
      <c r="S166" s="32">
        <v>-1.1000000000000001E-3</v>
      </c>
      <c r="T166">
        <v>764.92</v>
      </c>
      <c r="U166" s="32">
        <v>-3.8E-3</v>
      </c>
      <c r="V166">
        <v>868.06</v>
      </c>
      <c r="W166" s="32">
        <v>2.9399999999999999E-2</v>
      </c>
      <c r="X166" s="158">
        <v>15811.2</v>
      </c>
      <c r="Y166" s="32">
        <v>7.3000000000000001E-3</v>
      </c>
      <c r="Z166" s="32"/>
      <c r="AA166" s="32"/>
      <c r="AB166" s="32"/>
      <c r="AC166" s="32"/>
      <c r="AD166" s="32"/>
      <c r="AE166" s="32"/>
      <c r="AF166" s="32"/>
      <c r="AH166" s="159"/>
      <c r="AI166" s="153"/>
      <c r="AJ166" s="150"/>
      <c r="AK166" s="150"/>
      <c r="AL166" s="150"/>
      <c r="AM166" s="151"/>
      <c r="AN166" s="154"/>
    </row>
    <row r="167" spans="1:40" ht="16.5" x14ac:dyDescent="0.35">
      <c r="A167" s="155">
        <v>45067</v>
      </c>
      <c r="B167">
        <v>706.15</v>
      </c>
      <c r="C167" s="32">
        <v>-5.5999999999999999E-3</v>
      </c>
      <c r="D167">
        <v>55800</v>
      </c>
      <c r="E167" s="32">
        <v>-2.4500000000000001E-2</v>
      </c>
      <c r="F167">
        <v>116</v>
      </c>
      <c r="G167" s="32">
        <v>9.4299999999999995E-2</v>
      </c>
      <c r="H167">
        <v>60.22</v>
      </c>
      <c r="I167" s="32">
        <v>-1.15E-2</v>
      </c>
      <c r="J167">
        <v>12.26</v>
      </c>
      <c r="K167" s="32">
        <v>-8.2299999999999998E-2</v>
      </c>
      <c r="L167">
        <v>1528.4</v>
      </c>
      <c r="M167" s="32">
        <v>5.0599999999999999E-2</v>
      </c>
      <c r="N167">
        <v>18499.349999999999</v>
      </c>
      <c r="O167" s="32">
        <v>1.6299999999999999E-2</v>
      </c>
      <c r="P167">
        <v>12975.69</v>
      </c>
      <c r="Q167" s="32">
        <v>2.5100000000000001E-2</v>
      </c>
      <c r="R167">
        <v>6707.76</v>
      </c>
      <c r="S167" s="32">
        <v>-1.18E-2</v>
      </c>
      <c r="T167">
        <v>767.86</v>
      </c>
      <c r="U167" s="32">
        <v>1E-3</v>
      </c>
      <c r="V167">
        <v>843.23</v>
      </c>
      <c r="W167" s="32">
        <v>1.8E-3</v>
      </c>
      <c r="X167" s="158">
        <v>15696.75</v>
      </c>
      <c r="Y167" s="32">
        <v>1.8800000000000001E-2</v>
      </c>
      <c r="Z167" s="32"/>
      <c r="AA167" s="32"/>
      <c r="AB167" s="32"/>
      <c r="AC167" s="32"/>
      <c r="AD167" s="32"/>
      <c r="AE167" s="32"/>
      <c r="AF167" s="32"/>
      <c r="AH167" s="159"/>
      <c r="AI167" s="153"/>
      <c r="AJ167" s="150"/>
      <c r="AK167" s="150"/>
      <c r="AL167" s="150"/>
      <c r="AM167" s="151"/>
      <c r="AN167" s="154"/>
    </row>
    <row r="168" spans="1:40" ht="16.5" x14ac:dyDescent="0.35">
      <c r="A168" s="155">
        <v>45060</v>
      </c>
      <c r="B168">
        <v>710.15</v>
      </c>
      <c r="C168" s="32">
        <v>3.2399999999999998E-2</v>
      </c>
      <c r="D168">
        <v>57200</v>
      </c>
      <c r="E168" s="32">
        <v>2.1399999999999999E-2</v>
      </c>
      <c r="F168">
        <v>106</v>
      </c>
      <c r="G168" s="32">
        <v>1.9199999999999998E-2</v>
      </c>
      <c r="H168">
        <v>60.92</v>
      </c>
      <c r="I168" s="32">
        <v>-1.2500000000000001E-2</v>
      </c>
      <c r="J168">
        <v>13.36</v>
      </c>
      <c r="K168" s="32">
        <v>-3.2599999999999997E-2</v>
      </c>
      <c r="L168">
        <v>1454.8</v>
      </c>
      <c r="M168" s="32">
        <v>1.3100000000000001E-2</v>
      </c>
      <c r="N168">
        <v>18203.400000000001</v>
      </c>
      <c r="O168" s="32">
        <v>-6.1000000000000004E-3</v>
      </c>
      <c r="P168">
        <v>12657.9</v>
      </c>
      <c r="Q168" s="32">
        <v>3.04E-2</v>
      </c>
      <c r="R168">
        <v>6787.63</v>
      </c>
      <c r="S168" s="32">
        <v>-1.8499999999999999E-2</v>
      </c>
      <c r="T168">
        <v>767.1</v>
      </c>
      <c r="U168" s="32">
        <v>1.8700000000000001E-2</v>
      </c>
      <c r="V168">
        <v>841.72</v>
      </c>
      <c r="W168" s="32">
        <v>2.35E-2</v>
      </c>
      <c r="X168" s="158">
        <v>15407.55</v>
      </c>
      <c r="Y168" s="32">
        <v>-4.4999999999999997E-3</v>
      </c>
      <c r="Z168" s="32"/>
      <c r="AA168" s="32"/>
      <c r="AB168" s="32"/>
      <c r="AC168" s="32"/>
      <c r="AD168" s="32"/>
      <c r="AE168" s="32"/>
      <c r="AF168" s="32"/>
      <c r="AH168" s="159"/>
      <c r="AI168" s="149"/>
      <c r="AJ168" s="150"/>
      <c r="AK168" s="150"/>
      <c r="AL168" s="150"/>
      <c r="AM168" s="151"/>
      <c r="AN168" s="152"/>
    </row>
    <row r="169" spans="1:40" ht="16.5" x14ac:dyDescent="0.35">
      <c r="A169" s="155">
        <v>45053</v>
      </c>
      <c r="B169">
        <v>687.85</v>
      </c>
      <c r="C169" s="32">
        <v>-2.5000000000000001E-3</v>
      </c>
      <c r="D169">
        <v>56000</v>
      </c>
      <c r="E169" s="32">
        <v>-2.1000000000000001E-2</v>
      </c>
      <c r="H169">
        <v>61.69</v>
      </c>
      <c r="I169" s="32">
        <v>-0.17710000000000001</v>
      </c>
      <c r="J169">
        <v>13.81</v>
      </c>
      <c r="K169" s="32">
        <v>1.54E-2</v>
      </c>
      <c r="L169">
        <v>1436</v>
      </c>
      <c r="M169" s="32">
        <v>1.8E-3</v>
      </c>
      <c r="N169">
        <v>18314.8</v>
      </c>
      <c r="O169" s="32">
        <v>1.3599999999999999E-2</v>
      </c>
      <c r="P169">
        <v>12284.74</v>
      </c>
      <c r="Q169" s="32">
        <v>4.0000000000000001E-3</v>
      </c>
      <c r="R169">
        <v>18314.8</v>
      </c>
      <c r="S169" s="32">
        <v>1.3599999999999999E-2</v>
      </c>
      <c r="T169">
        <v>752.99</v>
      </c>
      <c r="U169" s="32">
        <v>3.3E-3</v>
      </c>
      <c r="V169">
        <v>822.43</v>
      </c>
      <c r="W169" s="32">
        <v>-2.6800000000000001E-2</v>
      </c>
      <c r="X169" s="158">
        <v>15477.35</v>
      </c>
      <c r="Y169" s="32">
        <v>1.2999999999999999E-2</v>
      </c>
      <c r="Z169" s="32"/>
      <c r="AA169" s="32"/>
      <c r="AB169" s="32"/>
      <c r="AC169" s="32"/>
      <c r="AD169" s="32"/>
      <c r="AE169" s="32"/>
      <c r="AF169" s="32"/>
      <c r="AH169" s="159"/>
      <c r="AI169" s="153"/>
      <c r="AJ169" s="150"/>
      <c r="AK169" s="150"/>
      <c r="AL169" s="150"/>
      <c r="AM169" s="151"/>
      <c r="AN169" s="154"/>
    </row>
    <row r="170" spans="1:40" ht="16.5" x14ac:dyDescent="0.35">
      <c r="A170" s="155">
        <v>45046</v>
      </c>
      <c r="B170">
        <v>689.6</v>
      </c>
      <c r="C170" s="32">
        <v>5.5100000000000003E-2</v>
      </c>
      <c r="D170">
        <v>57200</v>
      </c>
      <c r="E170" s="32">
        <v>4.9500000000000002E-2</v>
      </c>
      <c r="H170">
        <v>74.97</v>
      </c>
      <c r="I170" s="32">
        <v>-1.3599999999999999E-2</v>
      </c>
      <c r="J170">
        <v>13.6</v>
      </c>
      <c r="K170" s="32">
        <v>0.10390000000000001</v>
      </c>
      <c r="L170">
        <v>1433.4</v>
      </c>
      <c r="M170" s="32">
        <v>-1.2800000000000001E-2</v>
      </c>
      <c r="N170">
        <v>18069</v>
      </c>
      <c r="O170" s="32">
        <v>2.0000000000000001E-4</v>
      </c>
      <c r="P170">
        <v>12235.41</v>
      </c>
      <c r="Q170" s="32">
        <v>6.9999999999999999E-4</v>
      </c>
      <c r="R170">
        <v>18069</v>
      </c>
      <c r="S170" s="32">
        <v>2.0000000000000001E-4</v>
      </c>
      <c r="T170">
        <v>750.48</v>
      </c>
      <c r="U170" s="32">
        <v>-1.06E-2</v>
      </c>
      <c r="V170">
        <v>845.06</v>
      </c>
      <c r="W170" s="32">
        <v>2.5999999999999999E-3</v>
      </c>
      <c r="X170" s="158">
        <v>15278.6</v>
      </c>
      <c r="Y170" s="32">
        <v>3.8999999999999998E-3</v>
      </c>
      <c r="Z170" s="32"/>
      <c r="AA170" s="32"/>
      <c r="AB170" s="32"/>
      <c r="AC170" s="32"/>
      <c r="AD170" s="32"/>
      <c r="AE170" s="32"/>
      <c r="AF170" s="32"/>
      <c r="AH170" s="159"/>
      <c r="AI170" s="153"/>
      <c r="AJ170" s="150"/>
      <c r="AK170" s="150"/>
      <c r="AL170" s="150"/>
      <c r="AM170" s="151"/>
      <c r="AN170" s="154"/>
    </row>
    <row r="171" spans="1:40" x14ac:dyDescent="0.35">
      <c r="L171">
        <v>1452</v>
      </c>
      <c r="M171" s="32">
        <v>5.4000000000000003E-3</v>
      </c>
      <c r="AN171" s="32"/>
    </row>
    <row r="172" spans="1:40" x14ac:dyDescent="0.35">
      <c r="L172">
        <v>1444.2</v>
      </c>
      <c r="M172" s="32">
        <v>-2.3E-3</v>
      </c>
      <c r="AN172" s="32"/>
    </row>
    <row r="173" spans="1:40" x14ac:dyDescent="0.35">
      <c r="L173">
        <v>1447.6</v>
      </c>
      <c r="M173" s="32">
        <v>0.02</v>
      </c>
      <c r="AN173" s="32"/>
    </row>
    <row r="174" spans="1:40" x14ac:dyDescent="0.35">
      <c r="L174">
        <v>1419.2</v>
      </c>
      <c r="M174" s="32">
        <v>-2.7400000000000001E-2</v>
      </c>
      <c r="AN174" s="32"/>
    </row>
    <row r="175" spans="1:40" x14ac:dyDescent="0.35">
      <c r="L175">
        <v>1459.2</v>
      </c>
      <c r="M175" s="32">
        <v>3.15E-2</v>
      </c>
      <c r="AN175" s="32"/>
    </row>
    <row r="176" spans="1:40" x14ac:dyDescent="0.35">
      <c r="AN176" s="32"/>
    </row>
    <row r="177" spans="40:40" x14ac:dyDescent="0.35">
      <c r="AN177" s="32"/>
    </row>
    <row r="178" spans="40:40" x14ac:dyDescent="0.35">
      <c r="AN178" s="32"/>
    </row>
    <row r="179" spans="40:40" x14ac:dyDescent="0.35">
      <c r="AN179" s="32"/>
    </row>
    <row r="180" spans="40:40" x14ac:dyDescent="0.35">
      <c r="AN180" s="32"/>
    </row>
    <row r="181" spans="40:40" x14ac:dyDescent="0.35">
      <c r="AN181" s="32"/>
    </row>
    <row r="182" spans="40:40" x14ac:dyDescent="0.35">
      <c r="AN182" s="32"/>
    </row>
    <row r="183" spans="40:40" x14ac:dyDescent="0.35">
      <c r="AN183" s="32"/>
    </row>
  </sheetData>
  <mergeCells count="12">
    <mergeCell ref="X13:Y13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74E3D-4401-4D36-8E3A-52C856BB7573}">
  <dimension ref="A1:I21"/>
  <sheetViews>
    <sheetView workbookViewId="0">
      <selection activeCell="F12" sqref="F12"/>
    </sheetView>
  </sheetViews>
  <sheetFormatPr defaultRowHeight="14.5" x14ac:dyDescent="0.35"/>
  <cols>
    <col min="1" max="1" width="16.453125" bestFit="1" customWidth="1"/>
    <col min="2" max="2" width="12.6328125" bestFit="1" customWidth="1"/>
    <col min="3" max="3" width="13.1796875" bestFit="1" customWidth="1"/>
    <col min="4" max="4" width="12.6328125" bestFit="1" customWidth="1"/>
    <col min="5" max="5" width="12" bestFit="1" customWidth="1"/>
    <col min="6" max="6" width="12.81640625" bestFit="1" customWidth="1"/>
    <col min="7" max="9" width="12.6328125" bestFit="1" customWidth="1"/>
  </cols>
  <sheetData>
    <row r="1" spans="1:9" x14ac:dyDescent="0.35">
      <c r="A1" t="s">
        <v>723</v>
      </c>
    </row>
    <row r="2" spans="1:9" ht="15" thickBot="1" x14ac:dyDescent="0.4"/>
    <row r="3" spans="1:9" x14ac:dyDescent="0.35">
      <c r="A3" s="250" t="s">
        <v>724</v>
      </c>
      <c r="B3" s="250"/>
    </row>
    <row r="4" spans="1:9" x14ac:dyDescent="0.35">
      <c r="A4" t="s">
        <v>725</v>
      </c>
      <c r="B4">
        <v>0.92173858333125447</v>
      </c>
    </row>
    <row r="5" spans="1:9" x14ac:dyDescent="0.35">
      <c r="A5" t="s">
        <v>726</v>
      </c>
      <c r="B5">
        <v>0.84960201600150798</v>
      </c>
    </row>
    <row r="6" spans="1:9" x14ac:dyDescent="0.35">
      <c r="A6" t="s">
        <v>727</v>
      </c>
      <c r="B6">
        <v>0.7994693546686773</v>
      </c>
    </row>
    <row r="7" spans="1:9" x14ac:dyDescent="0.35">
      <c r="A7" t="s">
        <v>728</v>
      </c>
      <c r="B7">
        <v>1.8952465641022924</v>
      </c>
    </row>
    <row r="8" spans="1:9" ht="15" thickBot="1" x14ac:dyDescent="0.4">
      <c r="A8" s="248" t="s">
        <v>729</v>
      </c>
      <c r="B8" s="248">
        <v>17</v>
      </c>
    </row>
    <row r="10" spans="1:9" ht="15" thickBot="1" x14ac:dyDescent="0.4">
      <c r="A10" t="s">
        <v>730</v>
      </c>
    </row>
    <row r="11" spans="1:9" x14ac:dyDescent="0.35">
      <c r="A11" s="249"/>
      <c r="B11" s="249" t="s">
        <v>734</v>
      </c>
      <c r="C11" s="249" t="s">
        <v>735</v>
      </c>
      <c r="D11" s="249" t="s">
        <v>736</v>
      </c>
      <c r="E11" s="249" t="s">
        <v>737</v>
      </c>
      <c r="F11" s="249" t="s">
        <v>738</v>
      </c>
    </row>
    <row r="12" spans="1:9" x14ac:dyDescent="0.35">
      <c r="A12" t="s">
        <v>731</v>
      </c>
      <c r="B12">
        <v>4</v>
      </c>
      <c r="C12">
        <v>243.49284353768411</v>
      </c>
      <c r="D12">
        <v>60.873210884421027</v>
      </c>
      <c r="E12">
        <v>16.947075886536343</v>
      </c>
      <c r="F12">
        <v>7.0568661786038871E-5</v>
      </c>
    </row>
    <row r="13" spans="1:9" x14ac:dyDescent="0.35">
      <c r="A13" t="s">
        <v>732</v>
      </c>
      <c r="B13">
        <v>12</v>
      </c>
      <c r="C13">
        <v>43.103514464898531</v>
      </c>
      <c r="D13">
        <v>3.5919595387415444</v>
      </c>
    </row>
    <row r="14" spans="1:9" ht="15" thickBot="1" x14ac:dyDescent="0.4">
      <c r="A14" s="248" t="s">
        <v>258</v>
      </c>
      <c r="B14" s="248">
        <v>16</v>
      </c>
      <c r="C14" s="248">
        <v>286.59635800258263</v>
      </c>
      <c r="D14" s="248"/>
      <c r="E14" s="248"/>
      <c r="F14" s="248"/>
    </row>
    <row r="15" spans="1:9" ht="15" thickBot="1" x14ac:dyDescent="0.4"/>
    <row r="16" spans="1:9" x14ac:dyDescent="0.35">
      <c r="A16" s="249"/>
      <c r="B16" s="249" t="s">
        <v>739</v>
      </c>
      <c r="C16" s="249" t="s">
        <v>728</v>
      </c>
      <c r="D16" s="249" t="s">
        <v>740</v>
      </c>
      <c r="E16" s="249" t="s">
        <v>741</v>
      </c>
      <c r="F16" s="249" t="s">
        <v>742</v>
      </c>
      <c r="G16" s="249" t="s">
        <v>743</v>
      </c>
      <c r="H16" s="249" t="s">
        <v>744</v>
      </c>
      <c r="I16" s="249" t="s">
        <v>745</v>
      </c>
    </row>
    <row r="17" spans="1:9" x14ac:dyDescent="0.35">
      <c r="A17" t="s">
        <v>733</v>
      </c>
      <c r="B17">
        <v>5.332347411199148</v>
      </c>
      <c r="C17">
        <v>2.7530120166330048</v>
      </c>
      <c r="D17">
        <v>1.9369139615019655</v>
      </c>
      <c r="E17">
        <v>7.6654519560983209E-2</v>
      </c>
      <c r="F17">
        <v>-0.6659504908688918</v>
      </c>
      <c r="G17">
        <v>11.330645313267187</v>
      </c>
      <c r="H17">
        <v>-0.6659504908688918</v>
      </c>
      <c r="I17">
        <v>11.330645313267187</v>
      </c>
    </row>
    <row r="18" spans="1:9" x14ac:dyDescent="0.35">
      <c r="A18" t="str" cm="1">
        <f t="array" ref="A18:A21">TRANSPOSE('Relative Valuation'!J5:M5)</f>
        <v>Analyst estimates of growth</v>
      </c>
      <c r="B18">
        <v>1.3823583005910567</v>
      </c>
      <c r="C18">
        <v>1.5234386749025</v>
      </c>
      <c r="D18">
        <v>0.90739346674360066</v>
      </c>
      <c r="E18">
        <v>0.38205934350431281</v>
      </c>
      <c r="F18">
        <v>-1.9369294294977524</v>
      </c>
      <c r="G18">
        <v>4.701646030679866</v>
      </c>
      <c r="H18">
        <v>-1.9369294294977524</v>
      </c>
      <c r="I18">
        <v>4.701646030679866</v>
      </c>
    </row>
    <row r="19" spans="1:9" x14ac:dyDescent="0.35">
      <c r="A19" t="str">
        <v>Forward net margin</v>
      </c>
      <c r="B19">
        <v>40.036828248662175</v>
      </c>
      <c r="C19">
        <v>6.4298351745148015</v>
      </c>
      <c r="D19">
        <v>6.2267269940840082</v>
      </c>
      <c r="E19">
        <v>4.4057163787424177E-5</v>
      </c>
      <c r="F19">
        <v>26.027420877783705</v>
      </c>
      <c r="G19">
        <v>54.046235619540646</v>
      </c>
      <c r="H19">
        <v>26.027420877783705</v>
      </c>
      <c r="I19">
        <v>54.046235619540646</v>
      </c>
    </row>
    <row r="20" spans="1:9" x14ac:dyDescent="0.35">
      <c r="A20" t="str">
        <v>1 yr std dev</v>
      </c>
      <c r="B20">
        <v>-13.122800163778397</v>
      </c>
      <c r="C20">
        <v>5.7956271677722944</v>
      </c>
      <c r="D20">
        <v>-2.2642588599815849</v>
      </c>
      <c r="E20">
        <v>4.2880103503910499E-2</v>
      </c>
      <c r="F20">
        <v>-25.750386992888615</v>
      </c>
      <c r="G20">
        <v>-0.49521333466817907</v>
      </c>
      <c r="H20">
        <v>-25.750386992888615</v>
      </c>
      <c r="I20">
        <v>-0.49521333466817907</v>
      </c>
    </row>
    <row r="21" spans="1:9" ht="15" thickBot="1" x14ac:dyDescent="0.4">
      <c r="A21" t="str">
        <v>Dividend Payout</v>
      </c>
      <c r="B21" s="248">
        <v>-10.030806892669755</v>
      </c>
      <c r="C21" s="248">
        <v>6.3858681891545999</v>
      </c>
      <c r="D21" s="248">
        <v>-1.5707820135883035</v>
      </c>
      <c r="E21" s="248">
        <v>0.14221398120732023</v>
      </c>
      <c r="F21" s="248">
        <v>-23.94441843176363</v>
      </c>
      <c r="G21" s="248">
        <v>3.8828046464241179</v>
      </c>
      <c r="H21" s="248">
        <v>-23.94441843176363</v>
      </c>
      <c r="I21" s="248">
        <v>3.8828046464241179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BD817-906E-423D-98EF-682095F41BB5}">
  <sheetPr codeName="Sheet2"/>
  <dimension ref="A1:O89"/>
  <sheetViews>
    <sheetView showGridLines="0" zoomScale="43" zoomScaleNormal="65" workbookViewId="0">
      <selection activeCell="B59" sqref="B59"/>
    </sheetView>
  </sheetViews>
  <sheetFormatPr defaultColWidth="8.90625" defaultRowHeight="14" x14ac:dyDescent="0.3"/>
  <cols>
    <col min="1" max="1" width="2.36328125" style="18" customWidth="1"/>
    <col min="2" max="2" width="38.1796875" style="18" customWidth="1"/>
    <col min="3" max="3" width="14.26953125" style="18" bestFit="1" customWidth="1"/>
    <col min="4" max="5" width="15.81640625" style="18" bestFit="1" customWidth="1"/>
    <col min="6" max="6" width="14.81640625" style="18" bestFit="1" customWidth="1"/>
    <col min="7" max="9" width="13.90625" style="18" bestFit="1" customWidth="1"/>
    <col min="10" max="11" width="15.81640625" style="18" bestFit="1" customWidth="1"/>
    <col min="12" max="12" width="13.90625" style="18" bestFit="1" customWidth="1"/>
    <col min="13" max="13" width="16.54296875" style="18" bestFit="1" customWidth="1"/>
    <col min="14" max="14" width="14.36328125" style="18" customWidth="1"/>
    <col min="15" max="15" width="2.54296875" style="18" customWidth="1"/>
    <col min="16" max="16384" width="8.90625" style="18"/>
  </cols>
  <sheetData>
    <row r="1" spans="1:15" ht="7.25" customHeight="1" x14ac:dyDescent="0.3"/>
    <row r="2" spans="1:15" ht="30" x14ac:dyDescent="0.6">
      <c r="A2" s="3"/>
      <c r="B2" s="239" t="str">
        <f>Cover!B8</f>
        <v>ONE 97 COMMUNICATIONS LIMITED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255"/>
      <c r="N2" s="45"/>
      <c r="O2" s="45"/>
    </row>
    <row r="3" spans="1:15" x14ac:dyDescent="0.3">
      <c r="A3" s="3"/>
      <c r="B3" s="256" t="s">
        <v>767</v>
      </c>
      <c r="C3" s="257"/>
      <c r="D3" s="256"/>
      <c r="E3" s="256"/>
      <c r="F3" s="256"/>
      <c r="G3" s="256"/>
      <c r="H3" s="256"/>
      <c r="I3" s="256"/>
      <c r="J3" s="256"/>
      <c r="K3" s="258" t="s">
        <v>759</v>
      </c>
      <c r="L3" s="256"/>
      <c r="M3" s="259"/>
      <c r="N3" s="256"/>
      <c r="O3" s="3"/>
    </row>
    <row r="4" spans="1:15" x14ac:dyDescent="0.3">
      <c r="A4" s="3"/>
      <c r="B4" s="256"/>
      <c r="C4" s="257"/>
      <c r="D4" s="256"/>
      <c r="E4" s="256"/>
      <c r="F4" s="256"/>
      <c r="G4" s="256"/>
      <c r="H4" s="256"/>
      <c r="I4" s="256"/>
      <c r="J4" s="256"/>
      <c r="K4" s="259" t="s">
        <v>776</v>
      </c>
      <c r="L4" s="256"/>
      <c r="M4" s="259"/>
      <c r="N4" s="256"/>
      <c r="O4" s="3"/>
    </row>
    <row r="5" spans="1:15" x14ac:dyDescent="0.3">
      <c r="A5" s="279"/>
      <c r="B5" s="261"/>
      <c r="C5" s="261">
        <v>2026</v>
      </c>
      <c r="D5" s="261">
        <v>2027</v>
      </c>
      <c r="E5" s="261">
        <v>2028</v>
      </c>
      <c r="F5" s="261">
        <v>2029</v>
      </c>
      <c r="G5" s="261">
        <v>2030</v>
      </c>
      <c r="H5" s="261">
        <v>2031</v>
      </c>
      <c r="I5" s="261">
        <v>2032</v>
      </c>
      <c r="J5" s="261">
        <v>2033</v>
      </c>
      <c r="K5" s="261">
        <v>2034</v>
      </c>
      <c r="L5" s="261">
        <v>2035</v>
      </c>
      <c r="M5" s="262" t="s">
        <v>760</v>
      </c>
      <c r="N5" s="260"/>
      <c r="O5" s="3"/>
    </row>
    <row r="6" spans="1:15" x14ac:dyDescent="0.3">
      <c r="A6" s="3"/>
      <c r="B6" s="70" t="s">
        <v>771</v>
      </c>
      <c r="C6" s="3"/>
      <c r="D6" s="3"/>
      <c r="E6" s="3"/>
      <c r="F6" s="3"/>
      <c r="G6" s="3"/>
      <c r="H6" s="3"/>
      <c r="I6" s="3"/>
      <c r="J6" s="3"/>
      <c r="K6" s="3"/>
      <c r="L6" s="3"/>
      <c r="M6" s="256"/>
      <c r="N6" s="3"/>
      <c r="O6" s="3"/>
    </row>
    <row r="7" spans="1:15" x14ac:dyDescent="0.3">
      <c r="A7" s="3"/>
      <c r="B7" s="3" t="s">
        <v>768</v>
      </c>
      <c r="C7" s="18">
        <f>Schedules!J13*Schedules!J14</f>
        <v>23844222.800000001</v>
      </c>
      <c r="D7" s="18">
        <f>Schedules!K13*Schedules!K14</f>
        <v>28768925.476590849</v>
      </c>
      <c r="E7" s="18">
        <f>Schedules!L13*Schedules!L14</f>
        <v>34368276.443165496</v>
      </c>
      <c r="F7" s="18">
        <f>Schedules!M13*Schedules!M14</f>
        <v>39464115.048224293</v>
      </c>
      <c r="G7" s="18">
        <f>Schedules!N13*Schedules!N14</f>
        <v>44845609.023151666</v>
      </c>
      <c r="H7" s="18">
        <f>Schedules!O13*Schedules!O14</f>
        <v>50169317.529221714</v>
      </c>
      <c r="I7" s="18">
        <f>Schedules!P13*Schedules!P14</f>
        <v>55239216.795660496</v>
      </c>
      <c r="J7" s="18">
        <f>Schedules!Q13*Schedules!Q14</f>
        <v>60795857.303371713</v>
      </c>
      <c r="K7" s="18">
        <f>Schedules!R13*Schedules!R14</f>
        <v>66185407.575494856</v>
      </c>
      <c r="L7" s="18">
        <f>Schedules!S13*Schedules!S14</f>
        <v>72019761.358613893</v>
      </c>
      <c r="M7" s="263" t="s">
        <v>777</v>
      </c>
      <c r="N7" s="267">
        <f>((Schedules!S13*Schedules!S14)/(Schedules!J13*Schedules!J14))^(1/9)-1</f>
        <v>0.13068321521684023</v>
      </c>
      <c r="O7" s="3"/>
    </row>
    <row r="8" spans="1:15" x14ac:dyDescent="0.3">
      <c r="A8" s="3"/>
      <c r="B8" s="3" t="s">
        <v>769</v>
      </c>
      <c r="C8" s="18">
        <f>Schedules!J36*Schedules!J35</f>
        <v>18886221.523779999</v>
      </c>
      <c r="D8" s="18">
        <f>Schedules!K36*Schedules!K35</f>
        <v>23363070.159985781</v>
      </c>
      <c r="E8" s="18">
        <f>Schedules!L36*Schedules!L35</f>
        <v>28619399.788179453</v>
      </c>
      <c r="F8" s="18">
        <f>Schedules!M36*Schedules!M35</f>
        <v>33702064.082579494</v>
      </c>
      <c r="G8" s="18">
        <f>Schedules!N36*Schedules!N35</f>
        <v>39281061.624685101</v>
      </c>
      <c r="H8" s="18">
        <f>Schedules!O36*Schedules!O35</f>
        <v>45078720.49891644</v>
      </c>
      <c r="I8" s="18">
        <f>Schedules!P36*Schedules!P35</f>
        <v>50923155.882402375</v>
      </c>
      <c r="J8" s="18">
        <f>Schedules!Q36*Schedules!Q35</f>
        <v>57510102.302066758</v>
      </c>
      <c r="K8" s="18">
        <f>Schedules!R36*Schedules!R35</f>
        <v>64254953.02765251</v>
      </c>
      <c r="L8" s="18">
        <f>Schedules!R36*Schedules!R35</f>
        <v>64254953.02765251</v>
      </c>
      <c r="M8" s="263" t="s">
        <v>777</v>
      </c>
      <c r="N8" s="267">
        <f>((Schedules!S36*Schedules!S35)/(Schedules!J35*Schedules!J36))^(1/9)-1</f>
        <v>0.15990483935115174</v>
      </c>
      <c r="O8" s="3"/>
    </row>
    <row r="9" spans="1:15" x14ac:dyDescent="0.3">
      <c r="A9" s="3"/>
      <c r="B9" s="3" t="s">
        <v>770</v>
      </c>
      <c r="C9" s="18">
        <f>Schedules!J52</f>
        <v>15.1</v>
      </c>
      <c r="D9" s="18">
        <f>Schedules!K52</f>
        <v>18.791627447404682</v>
      </c>
      <c r="E9" s="18">
        <f>Schedules!L52</f>
        <v>22.072484198004332</v>
      </c>
      <c r="F9" s="18">
        <f>Schedules!M52</f>
        <v>25.664270051259635</v>
      </c>
      <c r="G9" s="18">
        <f>Schedules!N52</f>
        <v>29.553341509789764</v>
      </c>
      <c r="H9" s="18">
        <f>Schedules!O52</f>
        <v>32.144682258831438</v>
      </c>
      <c r="I9" s="18">
        <f>Schedules!P52</f>
        <v>34.435372809479162</v>
      </c>
      <c r="J9" s="18">
        <f>Schedules!Q52</f>
        <v>36.725878064912607</v>
      </c>
      <c r="K9" s="18">
        <f>Schedules!R52</f>
        <v>38.57257211761295</v>
      </c>
      <c r="L9" s="18">
        <f>Schedules!S52</f>
        <v>40.314503709345715</v>
      </c>
      <c r="M9" s="263" t="s">
        <v>777</v>
      </c>
      <c r="N9" s="267">
        <f>(Schedules!S52/Schedules!J52)^(1/9)-1</f>
        <v>0.11528831552813479</v>
      </c>
      <c r="O9" s="3"/>
    </row>
    <row r="10" spans="1:15" x14ac:dyDescent="0.3">
      <c r="A10" s="3"/>
      <c r="B10" s="3" t="s">
        <v>81</v>
      </c>
      <c r="C10" s="18">
        <f>Schedules!J68</f>
        <v>77</v>
      </c>
      <c r="D10" s="18">
        <f>Schedules!K68</f>
        <v>84.076778948343332</v>
      </c>
      <c r="E10" s="18">
        <f>Schedules!L68</f>
        <v>89.145096182128114</v>
      </c>
      <c r="F10" s="18">
        <f>Schedules!M68</f>
        <v>94.310355893329117</v>
      </c>
      <c r="G10" s="18">
        <f>Schedules!N68</f>
        <v>99.568695471477113</v>
      </c>
      <c r="H10" s="18">
        <f>Schedules!O68</f>
        <v>104.91625230610295</v>
      </c>
      <c r="I10" s="18">
        <f>Schedules!P68</f>
        <v>110.34916378673734</v>
      </c>
      <c r="J10" s="18">
        <f>Schedules!Q68</f>
        <v>115.86356730291114</v>
      </c>
      <c r="K10" s="18">
        <f>Schedules!R68</f>
        <v>121.45560024415511</v>
      </c>
      <c r="L10" s="18">
        <f>Schedules!S68</f>
        <v>126.00000000000001</v>
      </c>
      <c r="M10" s="263" t="s">
        <v>777</v>
      </c>
      <c r="N10" s="267">
        <f>(Schedules!S68/Schedules!J68)^(1/9)-1</f>
        <v>5.6244412205185501E-2</v>
      </c>
      <c r="O10" s="3"/>
    </row>
    <row r="11" spans="1:15" x14ac:dyDescent="0.3">
      <c r="A11" s="3"/>
      <c r="B11" s="3"/>
      <c r="M11" s="263"/>
      <c r="N11" s="264"/>
      <c r="O11" s="3"/>
    </row>
    <row r="12" spans="1:15" x14ac:dyDescent="0.3">
      <c r="A12" s="3"/>
      <c r="B12" s="70" t="s">
        <v>772</v>
      </c>
      <c r="M12" s="263"/>
      <c r="N12" s="264"/>
      <c r="O12" s="3"/>
    </row>
    <row r="13" spans="1:15" x14ac:dyDescent="0.3">
      <c r="A13" s="3"/>
      <c r="B13" s="3" t="s">
        <v>79</v>
      </c>
      <c r="C13" s="18">
        <f>'Financial Statements'!J11</f>
        <v>84370</v>
      </c>
      <c r="D13" s="18">
        <f>'Financial Statements'!K11</f>
        <v>105407.24152541082</v>
      </c>
      <c r="E13" s="18">
        <f>'Financial Statements'!L11</f>
        <v>131013.05545042307</v>
      </c>
      <c r="F13" s="18">
        <f>'Financial Statements'!M11</f>
        <v>158592.23803931684</v>
      </c>
      <c r="G13" s="18">
        <f>'Financial Statements'!N11</f>
        <v>190853.35280077794</v>
      </c>
      <c r="H13" s="18">
        <f>'Financial Statements'!O11</f>
        <v>221683.35242003284</v>
      </c>
      <c r="I13" s="18">
        <f>'Financial Statements'!P11</f>
        <v>265549.3871259091</v>
      </c>
      <c r="J13" s="18">
        <f>'Financial Statements'!Q11</f>
        <v>304355.93069237191</v>
      </c>
      <c r="K13" s="18">
        <f>'Financial Statements'!R11</f>
        <v>343102.65571900061</v>
      </c>
      <c r="L13" s="18">
        <f>'Financial Statements'!S11</f>
        <v>385331.15019755653</v>
      </c>
      <c r="M13" s="263" t="s">
        <v>777</v>
      </c>
      <c r="N13" s="264">
        <f>('Financial Statements'!S11/'Financial Statements'!J11)^(1/9)-1</f>
        <v>0.18384271981467748</v>
      </c>
      <c r="O13" s="3"/>
    </row>
    <row r="14" spans="1:15" x14ac:dyDescent="0.3">
      <c r="A14" s="3"/>
      <c r="B14" s="3" t="s">
        <v>366</v>
      </c>
      <c r="C14" s="18">
        <f>'Financial Statements'!J14</f>
        <v>48600</v>
      </c>
      <c r="D14" s="18">
        <f>'Financial Statements'!K14</f>
        <v>66085.932808717946</v>
      </c>
      <c r="E14" s="18">
        <f>'Financial Statements'!L14</f>
        <v>83218.465106668606</v>
      </c>
      <c r="F14" s="18">
        <f>'Financial Statements'!M14</f>
        <v>102412.61951906545</v>
      </c>
      <c r="G14" s="18">
        <f>'Financial Statements'!N14</f>
        <v>125205.37345987988</v>
      </c>
      <c r="H14" s="18">
        <f>'Financial Statements'!O14</f>
        <v>146455.58635836284</v>
      </c>
      <c r="I14" s="18">
        <f>'Financial Statements'!P14</f>
        <v>180420.78949009936</v>
      </c>
      <c r="J14" s="18">
        <f>'Financial Statements'!Q14</f>
        <v>207997.71021585324</v>
      </c>
      <c r="K14" s="18">
        <f>'Financial Statements'!R14</f>
        <v>235280.48722655402</v>
      </c>
      <c r="L14" s="18">
        <f>'Financial Statements'!S14</f>
        <v>264828.55327014951</v>
      </c>
      <c r="M14" s="263" t="s">
        <v>777</v>
      </c>
      <c r="N14" s="264">
        <f>('Financial Statements'!S14/'Financial Statements'!J14)^(1/9)-1</f>
        <v>0.20729744652395277</v>
      </c>
      <c r="O14" s="3"/>
    </row>
    <row r="15" spans="1:15" x14ac:dyDescent="0.3">
      <c r="A15" s="3"/>
      <c r="B15" s="3" t="s">
        <v>367</v>
      </c>
      <c r="C15" s="18">
        <f>'Financial Statements'!J17</f>
        <v>5020</v>
      </c>
      <c r="D15" s="18">
        <f>'Financial Statements'!K17</f>
        <v>15200.58696232587</v>
      </c>
      <c r="E15" s="18">
        <f>'Financial Statements'!L17</f>
        <v>23451.037060493662</v>
      </c>
      <c r="F15" s="18">
        <f>'Financial Statements'!M17</f>
        <v>32938.205907980839</v>
      </c>
      <c r="G15" s="18">
        <f>'Financial Statements'!N17</f>
        <v>44642.462205255943</v>
      </c>
      <c r="H15" s="18">
        <f>'Financial Statements'!O17</f>
        <v>54855.409351315218</v>
      </c>
      <c r="I15" s="18">
        <f>'Financial Statements'!P17</f>
        <v>72620.278149150094</v>
      </c>
      <c r="J15" s="18">
        <f>'Financial Statements'!Q17</f>
        <v>84487.706328094442</v>
      </c>
      <c r="K15" s="18">
        <f>'Financial Statements'!R17</f>
        <v>96096.510844651668</v>
      </c>
      <c r="L15" s="18">
        <f>'Financial Statements'!S17</f>
        <v>116476.06044409022</v>
      </c>
      <c r="M15" s="263" t="s">
        <v>777</v>
      </c>
      <c r="N15" s="264">
        <f>('Financial Statements'!S17/'Financial Statements'!J17)^(1/9)-1</f>
        <v>0.41816213006616176</v>
      </c>
      <c r="O15" s="3"/>
    </row>
    <row r="16" spans="1:15" x14ac:dyDescent="0.3">
      <c r="A16" s="3"/>
      <c r="B16" s="3" t="s">
        <v>761</v>
      </c>
      <c r="C16" s="18">
        <f>'Financial Statements'!J33</f>
        <v>7214</v>
      </c>
      <c r="D16" s="18">
        <f>'Financial Statements'!K33</f>
        <v>15912.119712615809</v>
      </c>
      <c r="E16" s="18">
        <f>'Financial Statements'!L33</f>
        <v>18878.530332498634</v>
      </c>
      <c r="F16" s="18">
        <f>'Financial Statements'!M33</f>
        <v>25633.210237825748</v>
      </c>
      <c r="G16" s="18">
        <f>'Financial Statements'!N33</f>
        <v>34051.758754809838</v>
      </c>
      <c r="H16" s="18">
        <f>'Financial Statements'!O33</f>
        <v>41640.03248939327</v>
      </c>
      <c r="I16" s="18">
        <f>'Financial Statements'!P33</f>
        <v>55425.899693266292</v>
      </c>
      <c r="J16" s="18">
        <f>'Financial Statements'!Q33</f>
        <v>71710.189309346766</v>
      </c>
      <c r="K16" s="18">
        <f>'Financial Statements'!R33</f>
        <v>83199.534188722377</v>
      </c>
      <c r="L16" s="18">
        <f>'Financial Statements'!S33</f>
        <v>102169.03590925878</v>
      </c>
      <c r="M16" s="263" t="s">
        <v>777</v>
      </c>
      <c r="N16" s="264">
        <f>('Financial Statements'!S33/'Financial Statements'!J33)^(1/9)-1</f>
        <v>0.3424706364639849</v>
      </c>
      <c r="O16" s="3"/>
    </row>
    <row r="17" spans="1:15" x14ac:dyDescent="0.3">
      <c r="A17" s="3"/>
      <c r="B17" s="3"/>
      <c r="M17" s="263"/>
      <c r="N17" s="264"/>
      <c r="O17" s="3"/>
    </row>
    <row r="18" spans="1:15" x14ac:dyDescent="0.3">
      <c r="A18" s="3"/>
      <c r="B18" s="70" t="s">
        <v>775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263"/>
      <c r="N18" s="3"/>
      <c r="O18" s="3"/>
    </row>
    <row r="19" spans="1:15" x14ac:dyDescent="0.3">
      <c r="A19" s="3"/>
      <c r="B19" s="3" t="s">
        <v>773</v>
      </c>
      <c r="C19" s="31">
        <f>'Financial Statements'!J36</f>
        <v>0.57603413535616921</v>
      </c>
      <c r="D19" s="31">
        <f>'Financial Statements'!K36</f>
        <v>0.62695818477316312</v>
      </c>
      <c r="E19" s="31">
        <f>'Financial Statements'!L36</f>
        <v>0.63519215562573828</v>
      </c>
      <c r="F19" s="31">
        <f>'Financial Statements'!M36</f>
        <v>0.64576060458694196</v>
      </c>
      <c r="G19" s="31">
        <f>'Financial Statements'!N36</f>
        <v>0.6560292057880448</v>
      </c>
      <c r="H19" s="31">
        <f>'Financial Statements'!O36</f>
        <v>0.66065216336528165</v>
      </c>
      <c r="I19" s="31">
        <f>'Financial Statements'!P36</f>
        <v>0.67942461265991783</v>
      </c>
      <c r="J19" s="31">
        <f>'Financial Statements'!Q36</f>
        <v>0.68340284923209582</v>
      </c>
      <c r="K19" s="31">
        <f>'Financial Statements'!R36</f>
        <v>0.68574370761865389</v>
      </c>
      <c r="L19" s="31">
        <f>'Financial Statements'!S36</f>
        <v>0.6872752258268604</v>
      </c>
      <c r="M19" s="263" t="s">
        <v>789</v>
      </c>
      <c r="N19" s="265" cm="1">
        <f t="array" ref="N19">INDEX($D$5:$L$5,MATCH(TRUE,D19:L19&gt;65%,0))</f>
        <v>2030</v>
      </c>
      <c r="O19" s="3"/>
    </row>
    <row r="20" spans="1:15" x14ac:dyDescent="0.3">
      <c r="A20" s="3"/>
      <c r="B20" s="3" t="s">
        <v>762</v>
      </c>
      <c r="C20" s="31">
        <f>'Financial Statements'!J37</f>
        <v>5.949982221168662E-2</v>
      </c>
      <c r="D20" s="31">
        <f>'Financial Statements'!K37</f>
        <v>0.14420818477316305</v>
      </c>
      <c r="E20" s="31">
        <f>'Financial Statements'!L37</f>
        <v>0.17899771118129382</v>
      </c>
      <c r="F20" s="31">
        <f>'Financial Statements'!M37</f>
        <v>0.2076911601424975</v>
      </c>
      <c r="G20" s="31">
        <f>'Financial Statements'!N37</f>
        <v>0.23390976134360042</v>
      </c>
      <c r="H20" s="31">
        <f>'Financial Statements'!O37</f>
        <v>0.24744938558750387</v>
      </c>
      <c r="I20" s="31">
        <f>'Financial Statements'!P37</f>
        <v>0.27347183488214005</v>
      </c>
      <c r="J20" s="31">
        <f>'Financial Statements'!Q37</f>
        <v>0.277595071454318</v>
      </c>
      <c r="K20" s="31">
        <f>'Financial Statements'!R37</f>
        <v>0.28008092984087607</v>
      </c>
      <c r="L20" s="31">
        <f>'Financial Statements'!S37</f>
        <v>0.30227522582686028</v>
      </c>
      <c r="M20" s="263" t="s">
        <v>790</v>
      </c>
      <c r="N20" s="265" cm="1">
        <f t="array" ref="N20">INDEX($D$5:$L$5,MATCH(TRUE,D20:L20&gt;20%,0))</f>
        <v>2029</v>
      </c>
      <c r="O20" s="3"/>
    </row>
    <row r="21" spans="1:15" x14ac:dyDescent="0.3">
      <c r="A21" s="3"/>
      <c r="B21" s="3" t="s">
        <v>763</v>
      </c>
      <c r="C21" s="31">
        <f>'Financial Statements'!J38</f>
        <v>8.5504326182292284E-2</v>
      </c>
      <c r="D21" s="31">
        <f>'Financial Statements'!K38</f>
        <v>0.15095850609827249</v>
      </c>
      <c r="E21" s="31">
        <f>'Financial Statements'!L38</f>
        <v>0.1440965579162643</v>
      </c>
      <c r="F21" s="31">
        <f>'Financial Statements'!M38</f>
        <v>0.16162966457079053</v>
      </c>
      <c r="G21" s="31">
        <f>'Financial Statements'!N38</f>
        <v>0.17841844670318541</v>
      </c>
      <c r="H21" s="31">
        <f>'Financial Statements'!O38</f>
        <v>0.18783563147536733</v>
      </c>
      <c r="I21" s="31">
        <f>'Financial Statements'!P38</f>
        <v>0.20872162535621422</v>
      </c>
      <c r="J21" s="31">
        <f>'Financial Statements'!Q38</f>
        <v>0.23561291921013333</v>
      </c>
      <c r="K21" s="31">
        <f>'Financial Statements'!R38</f>
        <v>0.24249166481783921</v>
      </c>
      <c r="L21" s="31">
        <f>'Financial Statements'!S38</f>
        <v>0.26514605906342492</v>
      </c>
      <c r="M21" s="263" t="s">
        <v>790</v>
      </c>
      <c r="N21" s="265" cm="1">
        <f t="array" ref="N21">INDEX($D$5:$L$5,MATCH(TRUE,D21:L21&gt;20%,0))</f>
        <v>2032</v>
      </c>
      <c r="O21" s="3"/>
    </row>
    <row r="22" spans="1:15" x14ac:dyDescent="0.3">
      <c r="A22" s="3"/>
      <c r="B22" s="3" t="s">
        <v>764</v>
      </c>
      <c r="C22" s="31">
        <f>'Financial Statements'!J39</f>
        <v>4.0814654141161075E-2</v>
      </c>
      <c r="D22" s="31">
        <f>'Financial Statements'!K39</f>
        <v>7.3886863073082523E-2</v>
      </c>
      <c r="E22" s="31">
        <f>'Financial Statements'!L39</f>
        <v>7.5993281481220989E-2</v>
      </c>
      <c r="F22" s="31">
        <f>'Financial Statements'!M39</f>
        <v>8.6694911558159726E-2</v>
      </c>
      <c r="G22" s="31">
        <f>'Financial Statements'!N39</f>
        <v>9.4259310972500801E-2</v>
      </c>
      <c r="H22" s="31">
        <f>'Financial Statements'!O39</f>
        <v>9.5209785077845915E-2</v>
      </c>
      <c r="I22" s="31">
        <f>'Financial Statements'!P39</f>
        <v>0.10401039343074885</v>
      </c>
      <c r="J22" s="31">
        <f>'Financial Statements'!Q39</f>
        <v>0.11022303169779993</v>
      </c>
      <c r="K22" s="31">
        <f>'Financial Statements'!R39</f>
        <v>0.10630538550756559</v>
      </c>
      <c r="L22" s="31">
        <f>'Financial Statements'!S39</f>
        <v>0.10867814007267708</v>
      </c>
      <c r="M22" s="263" t="s">
        <v>791</v>
      </c>
      <c r="N22" s="265" cm="1">
        <f t="array" ref="N22">INDEX($D$5:$L$5,MATCH(TRUE,D22:L22&gt;10%,0))</f>
        <v>2032</v>
      </c>
      <c r="O22" s="3"/>
    </row>
    <row r="23" spans="1:15" x14ac:dyDescent="0.3">
      <c r="A23" s="3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3"/>
    </row>
    <row r="24" spans="1:15" x14ac:dyDescent="0.3">
      <c r="A24" s="3"/>
      <c r="B24" s="256" t="s">
        <v>765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</row>
    <row r="25" spans="1:15" ht="6" customHeight="1" x14ac:dyDescent="0.3">
      <c r="A25" s="3"/>
      <c r="B25" s="3"/>
      <c r="C25" s="3"/>
      <c r="D25" s="3"/>
      <c r="E25" s="3"/>
      <c r="F25" s="3"/>
      <c r="G25" s="272"/>
      <c r="H25" s="269"/>
      <c r="I25" s="269"/>
      <c r="J25" s="269"/>
      <c r="K25" s="3"/>
      <c r="L25" s="3"/>
      <c r="M25" s="3"/>
      <c r="N25" s="3"/>
      <c r="O25" s="3"/>
    </row>
    <row r="26" spans="1:15" ht="18" x14ac:dyDescent="0.4">
      <c r="A26" s="3"/>
      <c r="B26" s="3"/>
      <c r="C26" s="3"/>
      <c r="D26" s="3"/>
      <c r="E26" s="3"/>
      <c r="F26" s="3"/>
      <c r="G26" s="276" t="s">
        <v>781</v>
      </c>
      <c r="H26" s="277"/>
      <c r="I26" s="271"/>
      <c r="J26" s="271"/>
      <c r="K26" s="3"/>
      <c r="L26" s="3"/>
      <c r="M26" s="3"/>
      <c r="N26" s="3"/>
      <c r="O26" s="3"/>
    </row>
    <row r="27" spans="1:15" ht="16.75" customHeight="1" x14ac:dyDescent="0.4">
      <c r="A27" s="3"/>
      <c r="B27" s="3"/>
      <c r="C27" s="3"/>
      <c r="D27" s="3"/>
      <c r="E27" s="3"/>
      <c r="F27" s="3"/>
      <c r="G27" s="274"/>
      <c r="H27" s="353">
        <f>(Schedules!S47/Schedules!J47)^(1/9)-1</f>
        <v>0.1775795260364601</v>
      </c>
      <c r="I27" s="353"/>
      <c r="J27" s="269"/>
      <c r="K27" s="3"/>
      <c r="L27" s="3"/>
      <c r="M27" s="3"/>
      <c r="N27" s="3"/>
      <c r="O27" s="3"/>
    </row>
    <row r="28" spans="1:15" x14ac:dyDescent="0.3">
      <c r="A28" s="3"/>
      <c r="B28" s="3"/>
      <c r="C28" s="3"/>
      <c r="D28" s="3"/>
      <c r="E28" s="3"/>
      <c r="F28" s="3"/>
      <c r="G28" s="275"/>
      <c r="H28" s="353"/>
      <c r="I28" s="353"/>
      <c r="J28" s="269"/>
      <c r="K28" s="3"/>
      <c r="L28" s="3"/>
      <c r="M28" s="3"/>
      <c r="N28" s="3"/>
      <c r="O28" s="3"/>
    </row>
    <row r="29" spans="1:15" x14ac:dyDescent="0.3">
      <c r="A29" s="3"/>
      <c r="B29" s="3"/>
      <c r="C29" s="3"/>
      <c r="D29" s="3"/>
      <c r="E29" s="3"/>
      <c r="F29" s="3"/>
      <c r="G29" s="272"/>
      <c r="H29" s="353"/>
      <c r="I29" s="353"/>
      <c r="J29" s="269"/>
      <c r="K29" s="3"/>
      <c r="L29" s="3"/>
      <c r="M29" s="3"/>
      <c r="N29" s="3"/>
      <c r="O29" s="3"/>
    </row>
    <row r="30" spans="1:15" x14ac:dyDescent="0.3">
      <c r="A30" s="3"/>
      <c r="B30" s="3"/>
      <c r="C30" s="3"/>
      <c r="D30" s="3"/>
      <c r="E30" s="3"/>
      <c r="F30" s="3"/>
      <c r="G30" s="272"/>
      <c r="H30" s="345" t="s">
        <v>784</v>
      </c>
      <c r="I30" s="345"/>
      <c r="J30" s="269"/>
      <c r="K30" s="3"/>
      <c r="L30" s="3"/>
      <c r="M30" s="3"/>
      <c r="N30" s="3"/>
      <c r="O30" s="3"/>
    </row>
    <row r="31" spans="1:15" ht="6" customHeight="1" x14ac:dyDescent="0.3">
      <c r="A31" s="3"/>
      <c r="B31" s="3"/>
      <c r="C31" s="3"/>
      <c r="D31" s="3"/>
      <c r="E31" s="3"/>
      <c r="F31" s="3"/>
      <c r="G31" s="272"/>
      <c r="H31" s="278"/>
      <c r="I31" s="278"/>
      <c r="J31" s="269"/>
      <c r="K31" s="3"/>
      <c r="L31" s="3"/>
      <c r="M31" s="3"/>
      <c r="N31" s="3"/>
      <c r="O31" s="3"/>
    </row>
    <row r="32" spans="1:15" x14ac:dyDescent="0.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</row>
    <row r="33" spans="1:15" ht="6" customHeight="1" x14ac:dyDescent="0.3">
      <c r="A33" s="3"/>
      <c r="B33" s="3"/>
      <c r="C33" s="3"/>
      <c r="D33" s="3"/>
      <c r="E33" s="3"/>
      <c r="F33" s="3"/>
      <c r="G33" s="272"/>
      <c r="H33" s="269"/>
      <c r="I33" s="269"/>
      <c r="J33" s="269"/>
      <c r="K33" s="3"/>
      <c r="L33" s="3"/>
      <c r="M33" s="3"/>
      <c r="N33" s="3"/>
      <c r="O33" s="3"/>
    </row>
    <row r="34" spans="1:15" ht="18" x14ac:dyDescent="0.4">
      <c r="A34" s="3"/>
      <c r="B34" s="3"/>
      <c r="C34" s="3"/>
      <c r="D34" s="3"/>
      <c r="E34" s="3"/>
      <c r="F34" s="3"/>
      <c r="G34" s="276" t="s">
        <v>782</v>
      </c>
      <c r="H34" s="271"/>
      <c r="I34" s="271"/>
      <c r="J34" s="271"/>
      <c r="K34" s="3"/>
      <c r="L34" s="3"/>
      <c r="M34" s="3"/>
      <c r="N34" s="3"/>
      <c r="O34" s="3"/>
    </row>
    <row r="35" spans="1:15" ht="20" x14ac:dyDescent="0.4">
      <c r="A35" s="3"/>
      <c r="B35" s="3"/>
      <c r="C35" s="3"/>
      <c r="D35" s="3"/>
      <c r="E35" s="3"/>
      <c r="F35" s="3"/>
      <c r="G35" s="274"/>
      <c r="H35" s="353">
        <f>(Schedules!S65/Schedules!J65)^(1/9)-1</f>
        <v>0.22869515300635124</v>
      </c>
      <c r="I35" s="353"/>
      <c r="J35" s="269"/>
      <c r="K35" s="3"/>
      <c r="L35" s="3"/>
      <c r="M35" s="3"/>
      <c r="N35" s="3"/>
      <c r="O35" s="3"/>
    </row>
    <row r="36" spans="1:15" x14ac:dyDescent="0.3">
      <c r="A36" s="3"/>
      <c r="B36" s="3"/>
      <c r="C36" s="3"/>
      <c r="D36" s="3"/>
      <c r="E36" s="3"/>
      <c r="F36" s="3"/>
      <c r="G36" s="275"/>
      <c r="H36" s="353"/>
      <c r="I36" s="353"/>
      <c r="J36" s="269"/>
      <c r="K36" s="3"/>
      <c r="L36" s="3"/>
      <c r="M36" s="3"/>
      <c r="N36" s="3"/>
      <c r="O36" s="3"/>
    </row>
    <row r="37" spans="1:15" x14ac:dyDescent="0.3">
      <c r="A37" s="3"/>
      <c r="B37" s="3"/>
      <c r="C37" s="3"/>
      <c r="D37" s="3"/>
      <c r="E37" s="3"/>
      <c r="F37" s="3"/>
      <c r="G37" s="272"/>
      <c r="H37" s="353"/>
      <c r="I37" s="353"/>
      <c r="J37" s="269"/>
      <c r="K37" s="3"/>
      <c r="L37" s="3"/>
      <c r="M37" s="3"/>
      <c r="N37" s="3"/>
      <c r="O37" s="3"/>
    </row>
    <row r="38" spans="1:15" x14ac:dyDescent="0.3">
      <c r="A38" s="3"/>
      <c r="B38" s="3"/>
      <c r="C38" s="3"/>
      <c r="D38" s="3"/>
      <c r="E38" s="3"/>
      <c r="F38" s="3"/>
      <c r="G38" s="272"/>
      <c r="H38" s="345" t="s">
        <v>784</v>
      </c>
      <c r="I38" s="345"/>
      <c r="J38" s="269"/>
      <c r="K38" s="3"/>
      <c r="L38" s="3"/>
      <c r="M38" s="3"/>
      <c r="N38" s="3"/>
      <c r="O38" s="3"/>
    </row>
    <row r="39" spans="1:15" ht="6" customHeight="1" x14ac:dyDescent="0.3">
      <c r="A39" s="3"/>
      <c r="B39" s="3"/>
      <c r="C39" s="3"/>
      <c r="D39" s="3"/>
      <c r="E39" s="3"/>
      <c r="F39" s="3"/>
      <c r="G39" s="272"/>
      <c r="H39" s="278"/>
      <c r="I39" s="278"/>
      <c r="J39" s="269"/>
      <c r="K39" s="3"/>
      <c r="L39" s="3"/>
      <c r="M39" s="3"/>
      <c r="N39" s="3"/>
      <c r="O39" s="3"/>
    </row>
    <row r="40" spans="1:15" x14ac:dyDescent="0.3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</row>
    <row r="41" spans="1:15" ht="6" customHeight="1" x14ac:dyDescent="0.3">
      <c r="A41" s="3"/>
      <c r="B41" s="3"/>
      <c r="C41" s="3"/>
      <c r="D41" s="3"/>
      <c r="E41" s="3"/>
      <c r="F41" s="3"/>
      <c r="G41" s="272"/>
      <c r="H41" s="269"/>
      <c r="I41" s="269"/>
      <c r="J41" s="269"/>
      <c r="K41" s="3"/>
      <c r="L41" s="3"/>
      <c r="M41" s="3"/>
      <c r="N41" s="3"/>
      <c r="O41" s="3"/>
    </row>
    <row r="42" spans="1:15" ht="18" x14ac:dyDescent="0.4">
      <c r="A42" s="3"/>
      <c r="B42" s="3"/>
      <c r="C42" s="3"/>
      <c r="D42" s="3"/>
      <c r="E42" s="3"/>
      <c r="F42" s="3"/>
      <c r="G42" s="276" t="s">
        <v>783</v>
      </c>
      <c r="H42" s="271"/>
      <c r="I42" s="271"/>
      <c r="J42" s="271"/>
      <c r="K42" s="3"/>
      <c r="L42" s="3"/>
      <c r="M42" s="3"/>
      <c r="N42" s="3"/>
      <c r="O42" s="3"/>
    </row>
    <row r="43" spans="1:15" ht="20" x14ac:dyDescent="0.4">
      <c r="A43" s="3"/>
      <c r="B43" s="3"/>
      <c r="C43" s="3"/>
      <c r="D43" s="3"/>
      <c r="E43" s="3"/>
      <c r="F43" s="3"/>
      <c r="G43" s="274"/>
      <c r="H43" s="353">
        <f>(Schedules!S74/Schedules!J74)^(1/9)-1</f>
        <v>9.9134412889416046E-2</v>
      </c>
      <c r="I43" s="353"/>
      <c r="J43" s="269"/>
      <c r="K43" s="3"/>
      <c r="L43" s="3"/>
      <c r="M43" s="3"/>
      <c r="N43" s="3"/>
      <c r="O43" s="3"/>
    </row>
    <row r="44" spans="1:15" x14ac:dyDescent="0.3">
      <c r="A44" s="3"/>
      <c r="B44" s="3"/>
      <c r="C44" s="3"/>
      <c r="D44" s="3"/>
      <c r="E44" s="3"/>
      <c r="F44" s="3"/>
      <c r="G44" s="275"/>
      <c r="H44" s="353"/>
      <c r="I44" s="353"/>
      <c r="J44" s="269"/>
      <c r="K44" s="3"/>
      <c r="L44" s="3"/>
      <c r="M44" s="3"/>
      <c r="N44" s="3"/>
      <c r="O44" s="3"/>
    </row>
    <row r="45" spans="1:15" x14ac:dyDescent="0.3">
      <c r="A45" s="3"/>
      <c r="B45" s="3"/>
      <c r="C45" s="3"/>
      <c r="D45" s="3"/>
      <c r="E45" s="3"/>
      <c r="F45" s="3"/>
      <c r="G45" s="272"/>
      <c r="H45" s="353"/>
      <c r="I45" s="353"/>
      <c r="J45" s="269"/>
      <c r="K45" s="3"/>
      <c r="L45" s="3"/>
      <c r="M45" s="3"/>
      <c r="N45" s="3"/>
      <c r="O45" s="3"/>
    </row>
    <row r="46" spans="1:15" x14ac:dyDescent="0.3">
      <c r="A46" s="3"/>
      <c r="B46" s="3"/>
      <c r="C46" s="3"/>
      <c r="D46" s="3"/>
      <c r="E46" s="3"/>
      <c r="F46" s="3"/>
      <c r="G46" s="272"/>
      <c r="H46" s="345" t="s">
        <v>784</v>
      </c>
      <c r="I46" s="345"/>
      <c r="J46" s="269"/>
      <c r="K46" s="3"/>
      <c r="L46" s="3"/>
      <c r="M46" s="3"/>
      <c r="N46" s="3"/>
      <c r="O46" s="3"/>
    </row>
    <row r="47" spans="1:15" ht="6" customHeight="1" x14ac:dyDescent="0.3">
      <c r="A47" s="3"/>
      <c r="B47" s="3"/>
      <c r="C47" s="3"/>
      <c r="D47" s="3"/>
      <c r="E47" s="3"/>
      <c r="F47" s="3"/>
      <c r="G47" s="272"/>
      <c r="H47" s="269"/>
      <c r="I47" s="269"/>
      <c r="J47" s="269"/>
      <c r="K47" s="3"/>
      <c r="L47" s="3"/>
      <c r="M47" s="3"/>
      <c r="N47" s="3"/>
      <c r="O47" s="3"/>
    </row>
    <row r="48" spans="1:15" ht="14.5" thickBot="1" x14ac:dyDescent="0.35">
      <c r="A48" s="47"/>
      <c r="B48" s="47"/>
      <c r="C48" s="47"/>
      <c r="D48" s="47"/>
      <c r="E48" s="280"/>
      <c r="F48" s="280"/>
      <c r="G48" s="280"/>
      <c r="H48" s="280"/>
      <c r="I48" s="280"/>
      <c r="J48" s="280"/>
      <c r="K48" s="280"/>
      <c r="L48" s="280"/>
      <c r="M48" s="280"/>
      <c r="N48" s="280"/>
    </row>
    <row r="50" spans="1:15" ht="30" x14ac:dyDescent="0.6">
      <c r="A50" s="45"/>
      <c r="B50" s="239" t="str">
        <f>Cover!B8</f>
        <v>ONE 97 COMMUNICATIONS LIMITED</v>
      </c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255"/>
      <c r="N50" s="45"/>
      <c r="O50" s="45"/>
    </row>
    <row r="51" spans="1:15" x14ac:dyDescent="0.3">
      <c r="A51" s="3"/>
      <c r="B51" s="256" t="s">
        <v>799</v>
      </c>
      <c r="C51" s="257"/>
      <c r="D51" s="256" t="s">
        <v>856</v>
      </c>
      <c r="E51" s="256"/>
      <c r="F51" s="256"/>
      <c r="G51" s="256"/>
      <c r="H51" s="256"/>
      <c r="I51" s="256"/>
      <c r="J51" s="256"/>
      <c r="K51" s="346" t="s">
        <v>792</v>
      </c>
      <c r="L51" s="346"/>
      <c r="M51" s="259" t="s">
        <v>776</v>
      </c>
      <c r="N51" s="256"/>
      <c r="O51" s="3"/>
    </row>
    <row r="52" spans="1:15" x14ac:dyDescent="0.3">
      <c r="A52" s="308"/>
      <c r="B52" s="309"/>
      <c r="C52" s="310"/>
      <c r="D52" s="311"/>
      <c r="E52" s="311"/>
      <c r="F52" s="311"/>
      <c r="G52" s="311"/>
      <c r="H52" s="311"/>
      <c r="I52" s="311"/>
      <c r="J52" s="311"/>
      <c r="K52" s="311"/>
      <c r="L52" s="311"/>
      <c r="M52" s="312"/>
      <c r="N52" s="311"/>
      <c r="O52" s="311"/>
    </row>
    <row r="53" spans="1:15" x14ac:dyDescent="0.3">
      <c r="A53" s="308"/>
      <c r="B53" s="309" t="s">
        <v>793</v>
      </c>
      <c r="C53" s="310"/>
      <c r="D53" s="347" t="str">
        <f>"Current market price of ₹"&amp; ROUND(ABS(D60),1)&amp;IF(D60&gt;B60," exceeds"," is below")&amp;" intrinsic value of ₹"&amp;ROUND(ABS(B60),1)&amp;" by "&amp;ROUND(ABS(D60-B60)/B60*100,0)&amp;"%"</f>
        <v>Current market price of ₹1033.8 exceeds intrinsic value of ₹893.5 by 16%</v>
      </c>
      <c r="E53" s="347"/>
      <c r="F53" s="347"/>
      <c r="G53" s="347"/>
      <c r="H53" s="347"/>
      <c r="I53" s="347"/>
      <c r="J53" s="347"/>
      <c r="K53" s="347"/>
      <c r="L53" s="347"/>
      <c r="M53" s="348" t="str">
        <f>IF(D60&gt;B60,"OVERVALUED","UNDERVALUED")</f>
        <v>OVERVALUED</v>
      </c>
      <c r="N53" s="311"/>
      <c r="O53" s="311"/>
    </row>
    <row r="54" spans="1:15" x14ac:dyDescent="0.3">
      <c r="A54" s="308"/>
      <c r="B54" s="309" t="s">
        <v>766</v>
      </c>
      <c r="C54" s="308"/>
      <c r="D54" s="347"/>
      <c r="E54" s="347"/>
      <c r="F54" s="347"/>
      <c r="G54" s="347"/>
      <c r="H54" s="347"/>
      <c r="I54" s="347"/>
      <c r="J54" s="347"/>
      <c r="K54" s="347"/>
      <c r="L54" s="347"/>
      <c r="M54" s="348"/>
      <c r="N54" s="308"/>
      <c r="O54" s="308"/>
    </row>
    <row r="55" spans="1:15" x14ac:dyDescent="0.3">
      <c r="A55" s="308"/>
      <c r="B55" s="309"/>
      <c r="C55" s="308"/>
      <c r="D55" s="308"/>
      <c r="E55" s="308"/>
      <c r="F55" s="308"/>
      <c r="G55" s="308"/>
      <c r="H55" s="308"/>
      <c r="I55" s="308"/>
      <c r="J55" s="308"/>
      <c r="K55" s="308"/>
      <c r="L55" s="308"/>
      <c r="M55" s="308"/>
      <c r="N55" s="308"/>
      <c r="O55" s="308"/>
    </row>
    <row r="57" spans="1:15" x14ac:dyDescent="0.3">
      <c r="A57" s="3"/>
      <c r="B57" s="282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x14ac:dyDescent="0.3">
      <c r="A58" s="3"/>
      <c r="B58" s="272"/>
      <c r="C58" s="3"/>
      <c r="D58" s="288"/>
      <c r="E58" s="269"/>
      <c r="G58" s="288"/>
      <c r="H58" s="269"/>
      <c r="J58" s="288"/>
      <c r="K58" s="269"/>
      <c r="M58" s="288"/>
      <c r="N58" s="269"/>
      <c r="O58" s="3"/>
    </row>
    <row r="59" spans="1:15" x14ac:dyDescent="0.3">
      <c r="A59" s="3"/>
      <c r="B59" s="295" t="str">
        <f>Assumptions!H8&amp;" IV"</f>
        <v>Base Case Scenario IV</v>
      </c>
      <c r="C59" s="294"/>
      <c r="D59" s="273" t="s">
        <v>794</v>
      </c>
      <c r="E59" s="270"/>
      <c r="G59" s="273" t="s">
        <v>795</v>
      </c>
      <c r="H59" s="270"/>
      <c r="J59" s="273" t="s">
        <v>796</v>
      </c>
      <c r="K59" s="270"/>
      <c r="M59" s="273" t="s">
        <v>854</v>
      </c>
      <c r="N59" s="270"/>
      <c r="O59" s="3"/>
    </row>
    <row r="60" spans="1:15" ht="20" x14ac:dyDescent="0.4">
      <c r="A60" s="3"/>
      <c r="B60" s="297">
        <f>ROUND('DCF Valuation'!I34,1)</f>
        <v>893.5</v>
      </c>
      <c r="C60" s="3"/>
      <c r="D60" s="349">
        <f>ROUND(Assumptions!P8,1)</f>
        <v>1033.8</v>
      </c>
      <c r="E60" s="350"/>
      <c r="G60" s="351">
        <f>ROUND(H66,1)</f>
        <v>569.6</v>
      </c>
      <c r="H60" s="352"/>
      <c r="J60" s="351">
        <f>H67</f>
        <v>1574.3</v>
      </c>
      <c r="K60" s="352"/>
      <c r="M60" s="351">
        <f>'Relative Valuation'!D36</f>
        <v>1116.7478194118537</v>
      </c>
      <c r="N60" s="352"/>
      <c r="O60" s="3"/>
    </row>
    <row r="61" spans="1:15" x14ac:dyDescent="0.3">
      <c r="A61" s="3"/>
      <c r="B61" s="296" t="s">
        <v>780</v>
      </c>
      <c r="C61" s="45"/>
      <c r="D61" s="275" t="s">
        <v>797</v>
      </c>
      <c r="E61" s="271"/>
      <c r="G61" s="289" t="s">
        <v>798</v>
      </c>
      <c r="H61" s="271"/>
      <c r="J61" s="289" t="s">
        <v>798</v>
      </c>
      <c r="K61" s="271"/>
      <c r="M61" s="289" t="s">
        <v>855</v>
      </c>
      <c r="N61" s="271"/>
      <c r="O61" s="3"/>
    </row>
    <row r="62" spans="1:15" x14ac:dyDescent="0.3">
      <c r="A62" s="3"/>
      <c r="B62" s="272"/>
      <c r="C62" s="3"/>
      <c r="D62" s="288"/>
      <c r="E62" s="269"/>
      <c r="G62" s="288"/>
      <c r="H62" s="269"/>
      <c r="J62" s="288"/>
      <c r="K62" s="269"/>
      <c r="M62" s="288"/>
      <c r="N62" s="269"/>
      <c r="O62" s="3"/>
    </row>
    <row r="63" spans="1:15" x14ac:dyDescent="0.3">
      <c r="A63" s="283"/>
      <c r="B63" s="284"/>
      <c r="C63" s="283"/>
      <c r="D63" s="283"/>
      <c r="E63" s="283"/>
      <c r="F63" s="283"/>
      <c r="G63" s="283"/>
      <c r="H63" s="283"/>
      <c r="I63" s="283"/>
      <c r="J63" s="283"/>
      <c r="K63" s="283"/>
      <c r="L63" s="283"/>
      <c r="M63" s="283"/>
      <c r="N63" s="283"/>
      <c r="O63" s="3"/>
    </row>
    <row r="65" spans="2:14" ht="15.5" x14ac:dyDescent="0.35">
      <c r="B65" s="340" t="s">
        <v>863</v>
      </c>
      <c r="C65" s="340"/>
      <c r="D65" s="340"/>
      <c r="F65" s="341" t="s">
        <v>851</v>
      </c>
      <c r="G65" s="341"/>
      <c r="H65" s="313">
        <f>IF(Assumptions!H8="Base Case Scenario",'DCF Valuation'!I34,902.4)</f>
        <v>893.48531272155356</v>
      </c>
      <c r="I65" s="191"/>
      <c r="J65" s="285" t="s">
        <v>801</v>
      </c>
      <c r="K65" s="286"/>
      <c r="L65" s="286"/>
      <c r="M65" s="286"/>
      <c r="N65" s="286"/>
    </row>
    <row r="66" spans="2:14" ht="15.5" x14ac:dyDescent="0.35">
      <c r="B66" s="316"/>
      <c r="C66" s="317"/>
      <c r="D66" s="318"/>
      <c r="F66" s="341" t="s">
        <v>861</v>
      </c>
      <c r="G66" s="341"/>
      <c r="H66" s="314">
        <f>IF(Assumptions!H8="Bear Case Scenario",'DCF Valuation'!I34,569.6)</f>
        <v>569.6</v>
      </c>
      <c r="J66" s="287"/>
      <c r="K66" s="285" t="s">
        <v>800</v>
      </c>
      <c r="L66" s="285" t="s">
        <v>804</v>
      </c>
      <c r="M66" s="285" t="s">
        <v>802</v>
      </c>
      <c r="N66" s="285" t="s">
        <v>803</v>
      </c>
    </row>
    <row r="67" spans="2:14" ht="15.5" x14ac:dyDescent="0.35">
      <c r="B67" s="337" t="s">
        <v>866</v>
      </c>
      <c r="C67" s="338"/>
      <c r="D67" s="339"/>
      <c r="F67" s="341" t="s">
        <v>862</v>
      </c>
      <c r="G67" s="341"/>
      <c r="H67" s="315">
        <f>IF(Assumptions!H8="Bull Case Scenario",'DCF Valuation'!I34,1574.3)</f>
        <v>1574.3</v>
      </c>
      <c r="J67" s="285" t="s">
        <v>561</v>
      </c>
      <c r="K67" s="298">
        <f>'Raw Data'!F290/'Raw Data'!G290</f>
        <v>8.396194926568759</v>
      </c>
      <c r="L67" s="298">
        <f>'Raw Data'!F290/'Raw Data'!J290</f>
        <v>127.90677966101696</v>
      </c>
      <c r="M67" s="298">
        <f>'Raw Data'!E290/'Raw Data'!G290</f>
        <v>6.7242990654205617</v>
      </c>
      <c r="N67" s="298">
        <f>'Raw Data'!E290/'Raw Data'!I290</f>
        <v>112.96822429906543</v>
      </c>
    </row>
    <row r="68" spans="2:14" x14ac:dyDescent="0.3">
      <c r="B68" s="334" t="s">
        <v>867</v>
      </c>
      <c r="C68" s="335"/>
      <c r="D68" s="336"/>
    </row>
    <row r="69" spans="2:14" ht="15.5" x14ac:dyDescent="0.35">
      <c r="B69" s="334" t="s">
        <v>868</v>
      </c>
      <c r="C69" s="335"/>
      <c r="D69" s="336"/>
      <c r="F69" s="340" t="s">
        <v>864</v>
      </c>
      <c r="G69" s="340"/>
      <c r="H69" s="340"/>
      <c r="J69" s="299" t="s">
        <v>805</v>
      </c>
    </row>
    <row r="70" spans="2:14" x14ac:dyDescent="0.3">
      <c r="B70" s="334" t="s">
        <v>869</v>
      </c>
      <c r="C70" s="335"/>
      <c r="D70" s="336"/>
      <c r="F70" s="342"/>
      <c r="G70" s="342"/>
      <c r="H70" s="342"/>
      <c r="J70" s="70" t="s">
        <v>630</v>
      </c>
      <c r="K70" s="191">
        <f>'Relative Valuation'!E6/'Relative Valuation'!F6</f>
        <v>7.8361923982509243</v>
      </c>
      <c r="L70" s="191">
        <f>'Relative Valuation'!E6/'Relative Valuation'!G6</f>
        <v>48.035051546391749</v>
      </c>
      <c r="M70" s="191">
        <f>'Relative Valuation'!D6/'Relative Valuation'!F6</f>
        <v>7.3390514631685164</v>
      </c>
      <c r="N70" s="191">
        <f>'Raw Data'!E272/'Raw Data'!I272</f>
        <v>29.726158038147137</v>
      </c>
    </row>
    <row r="71" spans="2:14" x14ac:dyDescent="0.3">
      <c r="B71" s="316"/>
      <c r="C71" s="317"/>
      <c r="D71" s="319"/>
      <c r="F71" s="342" t="s">
        <v>885</v>
      </c>
      <c r="G71" s="342"/>
      <c r="H71" s="342"/>
      <c r="J71" s="70" t="s">
        <v>631</v>
      </c>
      <c r="K71" s="191">
        <f>'Relative Valuation'!E7/'Relative Valuation'!F7</f>
        <v>1.3879403501188676</v>
      </c>
      <c r="L71" s="191">
        <f>'Relative Valuation'!E7/'Relative Valuation'!G7</f>
        <v>-61.75</v>
      </c>
      <c r="M71" s="191">
        <f>'Relative Valuation'!D7/'Relative Valuation'!F7</f>
        <v>1.5151285930408471</v>
      </c>
      <c r="N71" s="191">
        <f>'Raw Data'!E273/'Raw Data'!I273</f>
        <v>517.38007380073793</v>
      </c>
    </row>
    <row r="72" spans="2:14" x14ac:dyDescent="0.3">
      <c r="B72" s="337" t="s">
        <v>870</v>
      </c>
      <c r="C72" s="338"/>
      <c r="D72" s="339"/>
      <c r="F72" s="342" t="s">
        <v>886</v>
      </c>
      <c r="G72" s="342"/>
      <c r="H72" s="342"/>
      <c r="J72" s="70" t="s">
        <v>632</v>
      </c>
      <c r="K72" s="191">
        <f>'Relative Valuation'!E8/'Relative Valuation'!F8</f>
        <v>3.3160007297938332</v>
      </c>
      <c r="L72" s="191">
        <f>'Relative Valuation'!E8/'Relative Valuation'!G8</f>
        <v>213.8235294117647</v>
      </c>
      <c r="M72" s="191">
        <f>'Relative Valuation'!D8/'Relative Valuation'!F8</f>
        <v>3.293012224046707</v>
      </c>
      <c r="N72" s="191">
        <f>'Raw Data'!E274/'Raw Data'!I274</f>
        <v>-724.85943775100395</v>
      </c>
    </row>
    <row r="73" spans="2:14" x14ac:dyDescent="0.3">
      <c r="B73" s="334" t="s">
        <v>871</v>
      </c>
      <c r="C73" s="335"/>
      <c r="D73" s="336"/>
      <c r="F73" s="342" t="s">
        <v>887</v>
      </c>
      <c r="G73" s="342"/>
      <c r="H73" s="342"/>
      <c r="J73" s="70" t="s">
        <v>633</v>
      </c>
      <c r="K73" s="191">
        <f>'Relative Valuation'!E9/'Relative Valuation'!F9</f>
        <v>3.9743005967780882</v>
      </c>
      <c r="L73" s="191">
        <f>'Relative Valuation'!E9/'Relative Valuation'!G9</f>
        <v>590.82564102564106</v>
      </c>
      <c r="M73" s="191">
        <f>'Relative Valuation'!D9/'Relative Valuation'!F9</f>
        <v>3.9377350029321465</v>
      </c>
      <c r="N73" s="191">
        <f>'Raw Data'!E275/'Raw Data'!I275</f>
        <v>177.25310559006209</v>
      </c>
    </row>
    <row r="74" spans="2:14" x14ac:dyDescent="0.3">
      <c r="B74" s="334" t="s">
        <v>872</v>
      </c>
      <c r="C74" s="335"/>
      <c r="D74" s="336"/>
      <c r="F74" s="342" t="s">
        <v>888</v>
      </c>
      <c r="G74" s="342"/>
      <c r="H74" s="342"/>
      <c r="J74" s="70" t="s">
        <v>634</v>
      </c>
      <c r="K74" s="191">
        <f>'Relative Valuation'!E10/'Relative Valuation'!F10</f>
        <v>7.4232930197124087</v>
      </c>
      <c r="L74" s="191">
        <f>'Relative Valuation'!E10/'Relative Valuation'!G10</f>
        <v>496.50955414012742</v>
      </c>
      <c r="M74" s="191">
        <f>'Relative Valuation'!D10/'Relative Valuation'!F10</f>
        <v>7.5470907532615943</v>
      </c>
      <c r="N74" s="191">
        <f>'Raw Data'!E276/'Raw Data'!I276</f>
        <v>157.87250996015936</v>
      </c>
    </row>
    <row r="75" spans="2:14" x14ac:dyDescent="0.3">
      <c r="B75" s="334" t="s">
        <v>873</v>
      </c>
      <c r="C75" s="335"/>
      <c r="D75" s="336"/>
      <c r="F75" s="342" t="s">
        <v>889</v>
      </c>
      <c r="G75" s="342"/>
      <c r="H75" s="342"/>
      <c r="J75" s="70" t="s">
        <v>635</v>
      </c>
      <c r="K75" s="191">
        <f>'Relative Valuation'!E11/'Relative Valuation'!F11</f>
        <v>7.5487148834429165</v>
      </c>
      <c r="L75" s="191">
        <f>'Relative Valuation'!E11/'Relative Valuation'!G11</f>
        <v>24.958498023715418</v>
      </c>
      <c r="M75" s="191">
        <f>'Relative Valuation'!D11/'Relative Valuation'!F11</f>
        <v>5.6144650328750743</v>
      </c>
      <c r="N75" s="191">
        <f>'Raw Data'!E277/'Raw Data'!I277</f>
        <v>16.924324324324324</v>
      </c>
    </row>
    <row r="76" spans="2:14" x14ac:dyDescent="0.3">
      <c r="B76" s="316"/>
      <c r="C76" s="317"/>
      <c r="D76" s="319"/>
      <c r="F76" s="342" t="s">
        <v>890</v>
      </c>
      <c r="G76" s="342"/>
      <c r="H76" s="342"/>
      <c r="J76" s="70" t="s">
        <v>636</v>
      </c>
      <c r="K76" s="191">
        <f>'Relative Valuation'!E12/'Relative Valuation'!F12</f>
        <v>17.880499574226512</v>
      </c>
      <c r="L76" s="191">
        <f>'Relative Valuation'!E12/'Relative Valuation'!G12</f>
        <v>41.995333333333335</v>
      </c>
      <c r="M76" s="191">
        <f>'Relative Valuation'!D12/'Relative Valuation'!F12</f>
        <v>18.098211751348281</v>
      </c>
      <c r="N76" s="191">
        <f>'Raw Data'!E278/'Raw Data'!I278</f>
        <v>55.203463203463201</v>
      </c>
    </row>
    <row r="77" spans="2:14" x14ac:dyDescent="0.3">
      <c r="B77" s="337" t="s">
        <v>874</v>
      </c>
      <c r="C77" s="338"/>
      <c r="D77" s="339"/>
      <c r="F77" s="343" t="s">
        <v>891</v>
      </c>
      <c r="G77" s="343"/>
      <c r="H77" s="343"/>
      <c r="J77" s="70" t="s">
        <v>637</v>
      </c>
      <c r="K77" s="191">
        <f>'Relative Valuation'!E13/'Relative Valuation'!F13</f>
        <v>5.3628185907046468</v>
      </c>
      <c r="L77" s="191">
        <f>'Relative Valuation'!E13/'Relative Valuation'!G13</f>
        <v>113.0173775671406</v>
      </c>
      <c r="M77" s="191">
        <f>'Relative Valuation'!D13/'Relative Valuation'!F13</f>
        <v>5.1041979010494751</v>
      </c>
      <c r="N77" s="191">
        <f>'Raw Data'!E279/'Raw Data'!I279</f>
        <v>102.0839580209895</v>
      </c>
    </row>
    <row r="78" spans="2:14" x14ac:dyDescent="0.3">
      <c r="B78" s="334" t="s">
        <v>875</v>
      </c>
      <c r="C78" s="335"/>
      <c r="D78" s="336"/>
      <c r="F78" s="344"/>
      <c r="G78" s="344"/>
      <c r="H78" s="344"/>
      <c r="J78" s="70" t="s">
        <v>638</v>
      </c>
      <c r="K78" s="191">
        <f>'Relative Valuation'!E14/'Relative Valuation'!F14</f>
        <v>4.6887661141804786</v>
      </c>
      <c r="L78" s="191">
        <f>'Relative Valuation'!E14/'Relative Valuation'!G14</f>
        <v>186.8623853211009</v>
      </c>
      <c r="M78" s="191">
        <f>'Relative Valuation'!D14/'Relative Valuation'!F14</f>
        <v>4.4608655616942912</v>
      </c>
      <c r="N78" s="191">
        <f>'Raw Data'!E280/'Raw Data'!I280</f>
        <v>90.55140186915888</v>
      </c>
    </row>
    <row r="79" spans="2:14" x14ac:dyDescent="0.3">
      <c r="B79" s="334" t="s">
        <v>876</v>
      </c>
      <c r="C79" s="335"/>
      <c r="D79" s="336"/>
      <c r="J79" s="70" t="s">
        <v>639</v>
      </c>
      <c r="K79" s="191">
        <f>'Relative Valuation'!E15/'Relative Valuation'!F15</f>
        <v>1.3558082859463851</v>
      </c>
      <c r="L79" s="191">
        <f>'Relative Valuation'!E15/'Relative Valuation'!G15</f>
        <v>-25.211480362537763</v>
      </c>
      <c r="M79" s="191">
        <f>'Relative Valuation'!D15/'Relative Valuation'!F15</f>
        <v>0.91632818846466291</v>
      </c>
      <c r="N79" s="191">
        <f>'Raw Data'!E281/'Raw Data'!I281</f>
        <v>7.8881118881118875</v>
      </c>
    </row>
    <row r="80" spans="2:14" x14ac:dyDescent="0.3">
      <c r="B80" s="326" t="s">
        <v>877</v>
      </c>
      <c r="C80" s="326"/>
      <c r="D80" s="326"/>
      <c r="F80" s="340" t="s">
        <v>865</v>
      </c>
      <c r="G80" s="340"/>
      <c r="H80" s="340"/>
      <c r="J80" s="70" t="s">
        <v>640</v>
      </c>
      <c r="K80" s="191">
        <f>'Relative Valuation'!E16/'Relative Valuation'!F16</f>
        <v>10.696522219155396</v>
      </c>
      <c r="L80" s="191">
        <f>'Relative Valuation'!E16/'Relative Valuation'!G16</f>
        <v>108.55322128851539</v>
      </c>
      <c r="M80" s="191">
        <f>'Relative Valuation'!D16/'Relative Valuation'!F16</f>
        <v>10.381313828319072</v>
      </c>
      <c r="N80" s="191">
        <f>'Raw Data'!E282/'Raw Data'!I282</f>
        <v>138.53222836095765</v>
      </c>
    </row>
    <row r="81" spans="2:14" x14ac:dyDescent="0.3">
      <c r="B81" s="316"/>
      <c r="C81" s="317"/>
      <c r="D81" s="319"/>
      <c r="F81" s="321"/>
      <c r="G81" s="322"/>
      <c r="H81" s="323"/>
      <c r="J81" s="70" t="s">
        <v>641</v>
      </c>
      <c r="K81" s="191">
        <f>'Relative Valuation'!E17/'Relative Valuation'!F17</f>
        <v>7.769893213916637</v>
      </c>
      <c r="L81" s="191">
        <f>'Relative Valuation'!E17/'Relative Valuation'!G17</f>
        <v>835.40740740740728</v>
      </c>
      <c r="M81" s="191">
        <f>'Relative Valuation'!D17/'Relative Valuation'!F17</f>
        <v>5.8963141577678266</v>
      </c>
      <c r="N81" s="191">
        <f>'Raw Data'!E283/'Raw Data'!I283</f>
        <v>33.562745098039215</v>
      </c>
    </row>
    <row r="82" spans="2:14" x14ac:dyDescent="0.3">
      <c r="B82" s="327"/>
      <c r="C82" s="328"/>
      <c r="D82" s="329"/>
      <c r="F82" s="320" t="s">
        <v>878</v>
      </c>
      <c r="G82" s="320"/>
      <c r="H82" s="320"/>
      <c r="J82" s="70" t="s">
        <v>642</v>
      </c>
      <c r="K82" s="191">
        <f>'Relative Valuation'!E18/'Relative Valuation'!F18</f>
        <v>2.8202228910762224</v>
      </c>
      <c r="L82" s="191">
        <f>'Relative Valuation'!E18/'Relative Valuation'!G18</f>
        <v>-15.651918735891648</v>
      </c>
      <c r="M82" s="191">
        <f>'Relative Valuation'!D18/'Relative Valuation'!F18</f>
        <v>2.6178719596518345</v>
      </c>
      <c r="N82" s="191">
        <f>'Raw Data'!E284/'Raw Data'!I284</f>
        <v>-18.677597214161345</v>
      </c>
    </row>
    <row r="83" spans="2:14" x14ac:dyDescent="0.3">
      <c r="B83" s="327"/>
      <c r="C83" s="328"/>
      <c r="D83" s="329"/>
      <c r="F83" s="320" t="s">
        <v>879</v>
      </c>
      <c r="G83" s="320"/>
      <c r="H83" s="320"/>
      <c r="J83" s="70" t="s">
        <v>716</v>
      </c>
      <c r="K83" s="191">
        <f>'Relative Valuation'!E19/'Relative Valuation'!F19</f>
        <v>11.380264741275573</v>
      </c>
      <c r="L83" s="191">
        <f>'Relative Valuation'!E19/'Relative Valuation'!G19</f>
        <v>39.735294117647058</v>
      </c>
      <c r="M83" s="191">
        <f>'Relative Valuation'!D19/'Relative Valuation'!F19</f>
        <v>10.405535499398317</v>
      </c>
      <c r="N83" s="191">
        <f>'Raw Data'!E285/'Raw Data'!I285</f>
        <v>31.558394160583944</v>
      </c>
    </row>
    <row r="84" spans="2:14" x14ac:dyDescent="0.3">
      <c r="B84" s="327"/>
      <c r="C84" s="328"/>
      <c r="D84" s="329"/>
      <c r="F84" s="320" t="s">
        <v>880</v>
      </c>
      <c r="G84" s="320"/>
      <c r="H84" s="320"/>
      <c r="J84" s="70" t="s">
        <v>717</v>
      </c>
      <c r="K84" s="191">
        <f>'Relative Valuation'!E20/'Relative Valuation'!F20</f>
        <v>4.6755150554675113</v>
      </c>
      <c r="L84" s="191">
        <f>'Relative Valuation'!E20/'Relative Valuation'!G20</f>
        <v>68.21387283236993</v>
      </c>
      <c r="M84" s="191">
        <f>'Relative Valuation'!D20/'Relative Valuation'!F20</f>
        <v>4.5257527733755945</v>
      </c>
      <c r="N84" s="191">
        <f>'Raw Data'!E286/'Raw Data'!I286</f>
        <v>66.028901734104039</v>
      </c>
    </row>
    <row r="85" spans="2:14" x14ac:dyDescent="0.3">
      <c r="B85" s="327"/>
      <c r="C85" s="328"/>
      <c r="D85" s="329"/>
      <c r="F85" s="320" t="s">
        <v>881</v>
      </c>
      <c r="G85" s="320"/>
      <c r="H85" s="320"/>
      <c r="J85" s="70" t="s">
        <v>718</v>
      </c>
      <c r="K85" s="191">
        <f>'Relative Valuation'!E21/'Relative Valuation'!F21</f>
        <v>5.0762645914396884</v>
      </c>
      <c r="L85" s="191">
        <f>'Relative Valuation'!E21/'Relative Valuation'!G21</f>
        <v>48.140221402214017</v>
      </c>
      <c r="M85" s="191">
        <f>'Relative Valuation'!D21/'Relative Valuation'!F21</f>
        <v>4.5824902723735415</v>
      </c>
      <c r="N85" s="191">
        <f>'Raw Data'!E287/'Raw Data'!I287</f>
        <v>31.238726790450926</v>
      </c>
    </row>
    <row r="86" spans="2:14" x14ac:dyDescent="0.3">
      <c r="B86" s="327"/>
      <c r="C86" s="328"/>
      <c r="D86" s="329"/>
      <c r="F86" s="320" t="s">
        <v>882</v>
      </c>
      <c r="G86" s="320"/>
      <c r="H86" s="320"/>
      <c r="J86" s="70" t="s">
        <v>719</v>
      </c>
      <c r="K86" s="191">
        <f>'Relative Valuation'!E22/'Relative Valuation'!F22</f>
        <v>2.1055966209081309</v>
      </c>
      <c r="L86" s="191">
        <f>'Relative Valuation'!E22/'Relative Valuation'!G22</f>
        <v>27.888111888111887</v>
      </c>
      <c r="M86" s="191">
        <f>'Relative Valuation'!D22/'Relative Valuation'!F22</f>
        <v>1.808870116156283</v>
      </c>
      <c r="N86" s="191">
        <f>'Raw Data'!E288/'Raw Data'!I288</f>
        <v>12.323741007194245</v>
      </c>
    </row>
    <row r="87" spans="2:14" x14ac:dyDescent="0.3">
      <c r="B87" s="327"/>
      <c r="C87" s="328"/>
      <c r="D87" s="329"/>
      <c r="F87" s="320" t="s">
        <v>883</v>
      </c>
      <c r="G87" s="320"/>
      <c r="H87" s="320"/>
    </row>
    <row r="88" spans="2:14" x14ac:dyDescent="0.3">
      <c r="B88" s="327"/>
      <c r="C88" s="328"/>
      <c r="D88" s="329"/>
      <c r="F88" s="320" t="s">
        <v>884</v>
      </c>
      <c r="G88" s="320"/>
      <c r="H88" s="320"/>
      <c r="I88" s="293"/>
      <c r="J88" s="287" t="s">
        <v>852</v>
      </c>
      <c r="K88" s="298">
        <f>AVERAGE(K70:K86)</f>
        <v>6.194036110376131</v>
      </c>
      <c r="L88" s="298">
        <f>AVERAGE(L70:L86)</f>
        <v>161.25600589453242</v>
      </c>
      <c r="M88" s="298">
        <f>AVERAGE(M70:M86)</f>
        <v>5.7673079458190637</v>
      </c>
      <c r="N88" s="298">
        <f>AVERAGE(N70:N86)</f>
        <v>42.622988757724656</v>
      </c>
    </row>
    <row r="89" spans="2:14" x14ac:dyDescent="0.3">
      <c r="B89" s="330"/>
      <c r="C89" s="331"/>
      <c r="D89" s="332"/>
      <c r="F89" s="333"/>
      <c r="G89" s="333"/>
      <c r="H89" s="333"/>
      <c r="J89" s="287" t="s">
        <v>853</v>
      </c>
      <c r="K89" s="298">
        <f>MEDIAN(K70:K86)</f>
        <v>5.0762645914396884</v>
      </c>
      <c r="L89" s="298">
        <f>MEDIAN(L70:L86)</f>
        <v>48.140221402214017</v>
      </c>
      <c r="M89" s="298">
        <f>MEDIAN(M70:M86)</f>
        <v>4.5824902723735415</v>
      </c>
      <c r="N89" s="298">
        <f>MEDIAN(N70:N86)</f>
        <v>33.562745098039215</v>
      </c>
    </row>
  </sheetData>
  <mergeCells count="42">
    <mergeCell ref="H27:I29"/>
    <mergeCell ref="H35:I37"/>
    <mergeCell ref="H43:I45"/>
    <mergeCell ref="H30:I30"/>
    <mergeCell ref="H38:I38"/>
    <mergeCell ref="M53:M54"/>
    <mergeCell ref="D60:E60"/>
    <mergeCell ref="G60:H60"/>
    <mergeCell ref="J60:K60"/>
    <mergeCell ref="M60:N60"/>
    <mergeCell ref="B65:D65"/>
    <mergeCell ref="H46:I46"/>
    <mergeCell ref="K51:L51"/>
    <mergeCell ref="D53:L54"/>
    <mergeCell ref="B67:D67"/>
    <mergeCell ref="F69:H69"/>
    <mergeCell ref="F80:H80"/>
    <mergeCell ref="F65:G65"/>
    <mergeCell ref="F66:G66"/>
    <mergeCell ref="F67:G67"/>
    <mergeCell ref="F71:H71"/>
    <mergeCell ref="F72:H72"/>
    <mergeCell ref="F73:H73"/>
    <mergeCell ref="F74:H74"/>
    <mergeCell ref="F75:H75"/>
    <mergeCell ref="F76:H76"/>
    <mergeCell ref="F77:H77"/>
    <mergeCell ref="F70:H70"/>
    <mergeCell ref="F78:H78"/>
    <mergeCell ref="B68:D68"/>
    <mergeCell ref="B69:D69"/>
    <mergeCell ref="B70:D70"/>
    <mergeCell ref="B72:D72"/>
    <mergeCell ref="B73:D73"/>
    <mergeCell ref="B80:D80"/>
    <mergeCell ref="B82:D89"/>
    <mergeCell ref="F89:H89"/>
    <mergeCell ref="B74:D74"/>
    <mergeCell ref="B75:D75"/>
    <mergeCell ref="B77:D77"/>
    <mergeCell ref="B78:D78"/>
    <mergeCell ref="B79:D79"/>
  </mergeCells>
  <conditionalFormatting sqref="M53">
    <cfRule type="containsText" dxfId="1" priority="1" operator="containsText" text="Undervalued">
      <formula>NOT(ISERROR(SEARCH("Undervalued",M53)))</formula>
    </cfRule>
    <cfRule type="containsText" dxfId="0" priority="2" stopIfTrue="1" operator="containsText" text="Overvalued">
      <formula>NOT(ISERROR(SEARCH("Overvalued",M53)))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6DBC9-3166-4025-8B0F-AD209AF3F007}">
  <sheetPr codeName="Sheet3"/>
  <dimension ref="B1:S151"/>
  <sheetViews>
    <sheetView showGridLines="0" topLeftCell="A58" zoomScale="102" zoomScaleNormal="102" workbookViewId="0">
      <selection activeCell="P22" sqref="P22"/>
    </sheetView>
  </sheetViews>
  <sheetFormatPr defaultColWidth="8.90625" defaultRowHeight="14" x14ac:dyDescent="0.3"/>
  <cols>
    <col min="1" max="1" width="2.36328125" style="18" customWidth="1"/>
    <col min="2" max="2" width="2.36328125" style="203" customWidth="1"/>
    <col min="3" max="3" width="68.6328125" style="3" customWidth="1"/>
    <col min="4" max="4" width="1.08984375" style="18" customWidth="1"/>
    <col min="5" max="5" width="2.453125" style="18" customWidth="1"/>
    <col min="6" max="6" width="8.08984375" style="18" customWidth="1"/>
    <col min="7" max="7" width="3.08984375" style="18" customWidth="1"/>
    <col min="8" max="8" width="20.453125" style="18" customWidth="1"/>
    <col min="9" max="9" width="8.90625" style="18"/>
    <col min="10" max="10" width="60" style="3" customWidth="1"/>
    <col min="11" max="11" width="2.1796875" style="18" customWidth="1"/>
    <col min="12" max="12" width="1.90625" style="18" customWidth="1"/>
    <col min="13" max="13" width="0.54296875" style="18" customWidth="1"/>
    <col min="14" max="14" width="8.90625" style="18"/>
    <col min="15" max="15" width="11.6328125" style="55" customWidth="1"/>
    <col min="16" max="16" width="13.90625" style="18" customWidth="1"/>
    <col min="17" max="17" width="8.90625" style="18"/>
    <col min="18" max="18" width="19.453125" style="18" bestFit="1" customWidth="1"/>
    <col min="19" max="19" width="11" style="18" bestFit="1" customWidth="1"/>
    <col min="20" max="16384" width="8.90625" style="18"/>
  </cols>
  <sheetData>
    <row r="1" spans="2:19" ht="7.25" customHeight="1" x14ac:dyDescent="0.3"/>
    <row r="2" spans="2:19" ht="30" x14ac:dyDescent="0.3">
      <c r="B2" s="204" t="str">
        <f>Cover!B8</f>
        <v>ONE 97 COMMUNICATIONS LIMITED</v>
      </c>
      <c r="C2" s="45"/>
      <c r="D2" s="22"/>
      <c r="E2" s="22"/>
      <c r="F2" s="22"/>
      <c r="G2" s="22"/>
      <c r="H2" s="22"/>
      <c r="I2" s="22"/>
      <c r="J2" s="45"/>
      <c r="K2" s="22"/>
      <c r="L2" s="22"/>
      <c r="M2" s="22"/>
      <c r="N2" s="22"/>
      <c r="P2" s="22"/>
    </row>
    <row r="3" spans="2:19" ht="19" x14ac:dyDescent="0.3">
      <c r="B3" s="205" t="s">
        <v>16</v>
      </c>
      <c r="C3" s="45"/>
      <c r="D3" s="22"/>
      <c r="E3" s="22"/>
      <c r="F3" s="22"/>
      <c r="G3" s="22"/>
      <c r="H3" s="22"/>
      <c r="I3" s="22"/>
      <c r="J3" s="45"/>
      <c r="K3" s="22"/>
      <c r="L3" s="22"/>
      <c r="M3" s="22"/>
      <c r="N3" s="22"/>
      <c r="P3" s="22"/>
    </row>
    <row r="5" spans="2:19" ht="15.5" x14ac:dyDescent="0.35">
      <c r="B5" s="206" t="s">
        <v>17</v>
      </c>
      <c r="C5" s="11"/>
      <c r="D5" s="19"/>
      <c r="E5" s="19"/>
      <c r="F5" s="19"/>
      <c r="G5" s="19"/>
      <c r="H5" s="19"/>
      <c r="J5" s="107" t="s">
        <v>18</v>
      </c>
      <c r="K5" s="19"/>
      <c r="L5" s="19"/>
      <c r="M5" s="19"/>
      <c r="N5" s="19"/>
      <c r="O5" s="176"/>
      <c r="P5" s="19"/>
    </row>
    <row r="6" spans="2:19" ht="3.65" customHeight="1" x14ac:dyDescent="0.3">
      <c r="B6" s="207"/>
      <c r="C6" s="108"/>
      <c r="D6" s="20"/>
      <c r="E6" s="20"/>
      <c r="F6" s="20"/>
      <c r="G6" s="20"/>
      <c r="H6" s="20"/>
      <c r="J6" s="108" t="s">
        <v>19</v>
      </c>
      <c r="K6" s="20"/>
      <c r="L6" s="20"/>
      <c r="M6" s="20"/>
      <c r="N6" s="20"/>
      <c r="O6" s="177"/>
      <c r="P6" s="20"/>
    </row>
    <row r="7" spans="2:19" x14ac:dyDescent="0.3">
      <c r="B7" s="231" t="s">
        <v>20</v>
      </c>
      <c r="C7" s="3" t="s">
        <v>21</v>
      </c>
      <c r="H7" s="209">
        <v>2026</v>
      </c>
      <c r="J7" s="213" t="s">
        <v>590</v>
      </c>
      <c r="O7" s="55" t="s">
        <v>26</v>
      </c>
      <c r="P7" s="214">
        <v>640.30510000000004</v>
      </c>
      <c r="R7" s="36"/>
    </row>
    <row r="8" spans="2:19" x14ac:dyDescent="0.3">
      <c r="B8" s="232" t="s">
        <v>20</v>
      </c>
      <c r="C8" s="210" t="s">
        <v>608</v>
      </c>
      <c r="D8" s="211"/>
      <c r="E8" s="211"/>
      <c r="F8" s="211"/>
      <c r="G8" s="211"/>
      <c r="H8" s="212" t="s">
        <v>595</v>
      </c>
      <c r="J8" s="215" t="str">
        <f ca="1">"Stock price -"&amp;TEXT(TODAY()-1," dd/mm/yyyy")</f>
        <v>Stock price - 12/06/2026</v>
      </c>
      <c r="K8" s="211"/>
      <c r="L8" s="211"/>
      <c r="M8" s="211"/>
      <c r="N8" s="211"/>
      <c r="O8" s="216"/>
      <c r="P8" s="268">
        <v>1033.8</v>
      </c>
      <c r="R8" s="183"/>
    </row>
    <row r="9" spans="2:19" x14ac:dyDescent="0.3">
      <c r="B9" s="233"/>
    </row>
    <row r="10" spans="2:19" ht="15.5" x14ac:dyDescent="0.35">
      <c r="B10" s="242" t="s">
        <v>24</v>
      </c>
      <c r="C10" s="11"/>
      <c r="D10" s="19"/>
      <c r="E10" s="19"/>
      <c r="F10" s="19"/>
      <c r="G10" s="19"/>
      <c r="H10" s="19"/>
      <c r="J10" s="107" t="s">
        <v>25</v>
      </c>
      <c r="K10" s="19"/>
      <c r="L10" s="19"/>
      <c r="M10" s="19"/>
      <c r="N10" s="19"/>
      <c r="O10" s="176"/>
      <c r="P10" s="19"/>
    </row>
    <row r="11" spans="2:19" ht="3.65" customHeight="1" x14ac:dyDescent="0.3">
      <c r="B11" s="234"/>
      <c r="C11" s="108"/>
      <c r="D11" s="20"/>
      <c r="E11" s="20"/>
      <c r="F11" s="20"/>
      <c r="G11" s="20"/>
      <c r="H11" s="20"/>
      <c r="J11" s="108"/>
      <c r="K11" s="20"/>
      <c r="L11" s="20"/>
      <c r="M11" s="20"/>
      <c r="N11" s="20"/>
      <c r="O11" s="177"/>
      <c r="P11" s="20"/>
    </row>
    <row r="12" spans="2:19" x14ac:dyDescent="0.3">
      <c r="B12" s="231"/>
      <c r="C12" s="185" t="s">
        <v>683</v>
      </c>
      <c r="H12" s="214"/>
      <c r="J12" s="220" t="s">
        <v>688</v>
      </c>
      <c r="P12" s="214"/>
    </row>
    <row r="13" spans="2:19" x14ac:dyDescent="0.3">
      <c r="B13" s="231" t="s">
        <v>20</v>
      </c>
      <c r="C13" s="3" t="s">
        <v>675</v>
      </c>
      <c r="F13" s="18" t="s">
        <v>26</v>
      </c>
      <c r="H13" s="214">
        <f>'Raw Data'!V2*10</f>
        <v>46460</v>
      </c>
      <c r="J13" s="221" t="s">
        <v>27</v>
      </c>
      <c r="P13" s="214"/>
    </row>
    <row r="14" spans="2:19" x14ac:dyDescent="0.3">
      <c r="B14" s="231" t="s">
        <v>20</v>
      </c>
      <c r="C14" s="3" t="s">
        <v>32</v>
      </c>
      <c r="H14" s="217">
        <v>0.75719999999999998</v>
      </c>
      <c r="J14" s="213" t="s">
        <v>28</v>
      </c>
      <c r="O14" s="55" t="s">
        <v>29</v>
      </c>
      <c r="P14" s="214">
        <v>220.22</v>
      </c>
      <c r="R14" s="36"/>
    </row>
    <row r="15" spans="2:19" x14ac:dyDescent="0.3">
      <c r="B15" s="231" t="s">
        <v>20</v>
      </c>
      <c r="C15" s="3" t="s">
        <v>33</v>
      </c>
      <c r="H15" s="217">
        <f>1-H14</f>
        <v>0.24280000000000002</v>
      </c>
      <c r="J15" s="213" t="s">
        <v>30</v>
      </c>
      <c r="P15" s="217">
        <f>P16/P14</f>
        <v>0.53219507764962315</v>
      </c>
      <c r="Q15" s="35"/>
      <c r="R15" s="35"/>
      <c r="S15" s="36"/>
    </row>
    <row r="16" spans="2:19" x14ac:dyDescent="0.3">
      <c r="B16" s="231"/>
      <c r="H16" s="217"/>
      <c r="J16" s="213" t="s">
        <v>31</v>
      </c>
      <c r="O16" s="55" t="s">
        <v>29</v>
      </c>
      <c r="P16" s="222">
        <v>117.2</v>
      </c>
    </row>
    <row r="17" spans="2:18" ht="28" x14ac:dyDescent="0.3">
      <c r="B17" s="231" t="s">
        <v>20</v>
      </c>
      <c r="C17" s="208" t="s">
        <v>52</v>
      </c>
      <c r="H17" s="214"/>
      <c r="J17" s="213"/>
      <c r="P17" s="214"/>
    </row>
    <row r="18" spans="2:18" x14ac:dyDescent="0.3">
      <c r="B18" s="231" t="s">
        <v>20</v>
      </c>
      <c r="C18" s="208" t="s">
        <v>54</v>
      </c>
      <c r="H18" s="214"/>
      <c r="J18" s="221" t="s">
        <v>661</v>
      </c>
      <c r="P18" s="218"/>
    </row>
    <row r="19" spans="2:18" x14ac:dyDescent="0.3">
      <c r="B19" s="231" t="s">
        <v>20</v>
      </c>
      <c r="C19" s="3" t="s">
        <v>55</v>
      </c>
      <c r="F19" s="18" t="s">
        <v>26</v>
      </c>
      <c r="H19" s="214">
        <v>700</v>
      </c>
      <c r="J19" s="213" t="s">
        <v>34</v>
      </c>
      <c r="O19" s="55" t="s">
        <v>35</v>
      </c>
      <c r="P19" s="217">
        <f>IF($H$8=Scenarios!$D$7,VLOOKUP(Assumptions!J19,Scenarios!$B$7:$E$57,MATCH($H$8,Scenarios!$B$7:$E$7,0),FALSE),IF($H$8=Scenarios!$C$7,VLOOKUP(Assumptions!J19,Scenarios!$B$7:$E$57,MATCH($H$8,Scenarios!$B$7:$E$7,0),FALSE),IF($H$8=Scenarios!$E$7,VLOOKUP(Assumptions!J19,Scenarios!$B$7:$E$57,MATCH($H$8,Scenarios!$B$7:$E$7,0),FALSE),0)))</f>
        <v>9.5000000000000001E-2</v>
      </c>
    </row>
    <row r="20" spans="2:18" x14ac:dyDescent="0.3">
      <c r="B20" s="231"/>
      <c r="C20" s="208"/>
      <c r="H20" s="214"/>
      <c r="J20" s="213" t="s">
        <v>28</v>
      </c>
      <c r="O20" s="55" t="s">
        <v>29</v>
      </c>
      <c r="P20" s="214">
        <f>P14*(1+P19)^9</f>
        <v>498.40665300078814</v>
      </c>
    </row>
    <row r="21" spans="2:18" x14ac:dyDescent="0.3">
      <c r="B21" s="231"/>
      <c r="C21" s="185" t="s">
        <v>53</v>
      </c>
      <c r="H21" s="214"/>
      <c r="J21" s="213" t="s">
        <v>30</v>
      </c>
      <c r="P21" s="217">
        <f>IF($H$8=Scenarios!$D$7,VLOOKUP(Assumptions!J21,Scenarios!$B$7:$E$57,MATCH($H$8,Scenarios!$B$7:$E$7,0),FALSE),IF($H$8=Scenarios!$C$7,VLOOKUP(Assumptions!J21,Scenarios!$B$7:$E$57,MATCH($H$8,Scenarios!$B$7:$E$7,0),FALSE),IF($H$8=Scenarios!$E$7,VLOOKUP(Assumptions!J21,Scenarios!$B$7:$E$57,MATCH($H$8,Scenarios!$B$7:$E$7,0),FALSE),0)))</f>
        <v>0.85</v>
      </c>
      <c r="R21" s="35"/>
    </row>
    <row r="22" spans="2:18" x14ac:dyDescent="0.3">
      <c r="B22" s="231" t="s">
        <v>20</v>
      </c>
      <c r="C22" s="3" t="s">
        <v>674</v>
      </c>
      <c r="H22" s="217">
        <v>5.5500000000000001E-2</v>
      </c>
      <c r="J22" s="213" t="s">
        <v>31</v>
      </c>
      <c r="O22" s="55" t="s">
        <v>29</v>
      </c>
      <c r="P22" s="214">
        <f>P21*P20</f>
        <v>423.64565505066992</v>
      </c>
    </row>
    <row r="23" spans="2:18" x14ac:dyDescent="0.3">
      <c r="B23" s="231" t="s">
        <v>20</v>
      </c>
      <c r="C23" s="3" t="s">
        <v>41</v>
      </c>
      <c r="H23" s="214">
        <v>73</v>
      </c>
      <c r="J23" s="221"/>
      <c r="P23" s="218"/>
    </row>
    <row r="24" spans="2:18" x14ac:dyDescent="0.3">
      <c r="B24" s="231" t="s">
        <v>20</v>
      </c>
      <c r="C24" s="3" t="s">
        <v>56</v>
      </c>
      <c r="H24" s="217">
        <f>'Raw Data'!L7</f>
        <v>1.5274702886247877E-3</v>
      </c>
      <c r="J24" s="220" t="s">
        <v>689</v>
      </c>
      <c r="P24" s="218"/>
    </row>
    <row r="25" spans="2:18" x14ac:dyDescent="0.3">
      <c r="B25" s="231"/>
      <c r="H25" s="214"/>
      <c r="J25" s="221" t="s">
        <v>27</v>
      </c>
      <c r="P25" s="218"/>
    </row>
    <row r="26" spans="2:18" x14ac:dyDescent="0.3">
      <c r="B26" s="231"/>
      <c r="C26" s="185" t="s">
        <v>684</v>
      </c>
      <c r="H26" s="218"/>
      <c r="J26" s="213" t="s">
        <v>38</v>
      </c>
      <c r="O26" s="55" t="s">
        <v>26</v>
      </c>
      <c r="P26" s="214">
        <v>87</v>
      </c>
    </row>
    <row r="27" spans="2:18" x14ac:dyDescent="0.3">
      <c r="B27" s="231"/>
      <c r="C27" s="70" t="s">
        <v>686</v>
      </c>
      <c r="H27" s="214"/>
      <c r="J27" s="213" t="s">
        <v>40</v>
      </c>
      <c r="L27" s="35"/>
      <c r="P27" s="218">
        <v>0.66</v>
      </c>
      <c r="Q27" s="27"/>
    </row>
    <row r="28" spans="2:18" x14ac:dyDescent="0.3">
      <c r="B28" s="231" t="s">
        <v>20</v>
      </c>
      <c r="C28" s="3" t="s">
        <v>36</v>
      </c>
      <c r="H28" s="217">
        <v>0.20344899999999999</v>
      </c>
      <c r="J28" s="213"/>
      <c r="P28" s="217"/>
    </row>
    <row r="29" spans="2:18" x14ac:dyDescent="0.3">
      <c r="B29" s="231" t="s">
        <v>20</v>
      </c>
      <c r="C29" s="3" t="s">
        <v>37</v>
      </c>
      <c r="H29" s="217">
        <v>1.482E-3</v>
      </c>
      <c r="J29" s="213"/>
      <c r="P29" s="217"/>
    </row>
    <row r="30" spans="2:18" x14ac:dyDescent="0.3">
      <c r="B30" s="231"/>
      <c r="H30" s="214"/>
      <c r="J30" s="221" t="s">
        <v>661</v>
      </c>
      <c r="P30" s="217"/>
    </row>
    <row r="31" spans="2:18" x14ac:dyDescent="0.3">
      <c r="B31" s="231"/>
      <c r="C31" s="70" t="s">
        <v>687</v>
      </c>
      <c r="H31" s="218"/>
      <c r="J31" s="213" t="s">
        <v>43</v>
      </c>
      <c r="O31" s="55" t="s">
        <v>35</v>
      </c>
      <c r="P31" s="217">
        <f>IF($H$8=Scenarios!$D$7,VLOOKUP(Assumptions!J31,Scenarios!$B$7:$E$57,MATCH($H$8,Scenarios!$B$7:$E$7,0),FALSE),IF($H$8=Scenarios!$C$7,VLOOKUP(Assumptions!J31,Scenarios!$B$7:$E$57,MATCH($H$8,Scenarios!$B$7:$E$7,0),FALSE),IF($H$8=Scenarios!$E$7,VLOOKUP(Assumptions!J31,Scenarios!$B$7:$E$57,MATCH($H$8,Scenarios!$B$7:$E$7,0),FALSE),0)))</f>
        <v>3.5000000000000003E-2</v>
      </c>
    </row>
    <row r="32" spans="2:18" x14ac:dyDescent="0.3">
      <c r="B32" s="231" t="s">
        <v>20</v>
      </c>
      <c r="C32" s="3" t="s">
        <v>39</v>
      </c>
      <c r="H32" s="217">
        <f>IF($H$8=Scenarios!$D$7,VLOOKUP(Assumptions!C32,Scenarios!$B$7:$E$57,MATCH($H$8,Scenarios!$B$7:$E$7,0),FALSE),IF($H$8=Scenarios!$C$7,VLOOKUP(Assumptions!C32,Scenarios!$B$7:$E$57,MATCH($H$8,Scenarios!$B$7:$E$7,0),FALSE),IF($H$8=Scenarios!$E$7,VLOOKUP(Assumptions!C32,Scenarios!$B$7:$E$57,MATCH($H$8,Scenarios!$B$7:$E$7,0),FALSE),0)))</f>
        <v>0.17</v>
      </c>
      <c r="J32" s="213" t="s">
        <v>38</v>
      </c>
      <c r="O32" s="55" t="s">
        <v>26</v>
      </c>
      <c r="P32" s="214">
        <f>P26*(1+P31)^9</f>
        <v>118.5720697333696</v>
      </c>
      <c r="R32" s="60"/>
    </row>
    <row r="33" spans="2:19" x14ac:dyDescent="0.3">
      <c r="B33" s="231" t="s">
        <v>20</v>
      </c>
      <c r="C33" s="3" t="s">
        <v>37</v>
      </c>
      <c r="H33" s="217">
        <f>IF($H$8=Scenarios!$D$7,VLOOKUP(Assumptions!C33,Scenarios!$B$7:$E$57,MATCH($H$8,Scenarios!$B$7:$E$7,0),FALSE),IF($H$8=Scenarios!$C$7,VLOOKUP(Assumptions!C33,Scenarios!$B$7:$E$57,MATCH($H$8,Scenarios!$B$7:$E$7,0),FALSE),IF($H$8=Scenarios!$E$7,VLOOKUP(Assumptions!C33,Scenarios!$B$7:$E$57,MATCH($H$8,Scenarios!$B$7:$E$7,0),FALSE),0)))</f>
        <v>1.5E-3</v>
      </c>
      <c r="J33" s="213" t="s">
        <v>40</v>
      </c>
      <c r="P33" s="217">
        <f>IF($H$8=Scenarios!$D$7,VLOOKUP(Assumptions!J33,Scenarios!$B$7:$E$57,MATCH($H$8,Scenarios!$B$7:$E$7,0),FALSE),IF($H$8=Scenarios!$C$7,VLOOKUP(Assumptions!J33,Scenarios!$B$7:$E$57,MATCH($H$8,Scenarios!$B$7:$E$7,0),FALSE),IF($H$8=Scenarios!$E$7,VLOOKUP(Assumptions!J33,Scenarios!$B$7:$E$57,MATCH($H$8,Scenarios!$B$7:$E$7,0),FALSE),0)))</f>
        <v>0.85</v>
      </c>
    </row>
    <row r="34" spans="2:19" x14ac:dyDescent="0.3">
      <c r="B34" s="231"/>
      <c r="H34" s="217"/>
      <c r="J34" s="213" t="s">
        <v>45</v>
      </c>
      <c r="O34" s="55" t="s">
        <v>35</v>
      </c>
      <c r="P34" s="217">
        <f>IF($H$8=Scenarios!$D$7,VLOOKUP(Assumptions!J34,Scenarios!$B$7:$E$57,MATCH($H$8,Scenarios!$B$7:$E$7,0),FALSE),IF($H$8=Scenarios!$C$7,VLOOKUP(Assumptions!J34,Scenarios!$B$7:$E$57,MATCH($H$8,Scenarios!$B$7:$E$7,0),FALSE),IF($H$8=Scenarios!$E$7,VLOOKUP(Assumptions!J34,Scenarios!$B$7:$E$57,MATCH($H$8,Scenarios!$B$7:$E$7,0),FALSE),0)))</f>
        <v>0.1</v>
      </c>
    </row>
    <row r="35" spans="2:19" x14ac:dyDescent="0.3">
      <c r="B35" s="231"/>
      <c r="C35" s="185" t="s">
        <v>685</v>
      </c>
      <c r="H35" s="214"/>
      <c r="J35" s="213"/>
      <c r="P35" s="214"/>
    </row>
    <row r="36" spans="2:19" x14ac:dyDescent="0.3">
      <c r="B36" s="231"/>
      <c r="C36" s="70" t="s">
        <v>686</v>
      </c>
      <c r="H36" s="214"/>
      <c r="J36" s="220" t="s">
        <v>690</v>
      </c>
      <c r="P36" s="222"/>
      <c r="S36" s="36"/>
    </row>
    <row r="37" spans="2:19" x14ac:dyDescent="0.3">
      <c r="B37" s="231" t="s">
        <v>20</v>
      </c>
      <c r="C37" s="3" t="s">
        <v>44</v>
      </c>
      <c r="F37" s="18" t="s">
        <v>26</v>
      </c>
      <c r="H37" s="214">
        <v>15.1</v>
      </c>
      <c r="J37" s="213" t="s">
        <v>46</v>
      </c>
      <c r="O37" s="55" t="s">
        <v>29</v>
      </c>
      <c r="P37" s="214">
        <f>SUM('Raw Data'!G25:G36)/100000</f>
        <v>90.930291400000002</v>
      </c>
    </row>
    <row r="38" spans="2:19" x14ac:dyDescent="0.3">
      <c r="B38" s="231" t="s">
        <v>20</v>
      </c>
      <c r="C38" s="3" t="s">
        <v>41</v>
      </c>
      <c r="H38" s="214">
        <v>60</v>
      </c>
      <c r="J38" s="213" t="s">
        <v>47</v>
      </c>
      <c r="P38" s="217">
        <f>P37/P14</f>
        <v>0.41290659976387251</v>
      </c>
    </row>
    <row r="39" spans="2:19" x14ac:dyDescent="0.3">
      <c r="B39" s="231" t="s">
        <v>20</v>
      </c>
      <c r="C39" s="3" t="s">
        <v>42</v>
      </c>
      <c r="H39" s="217">
        <v>0.26123000000000002</v>
      </c>
      <c r="J39" s="213" t="s">
        <v>663</v>
      </c>
      <c r="P39" s="217">
        <f>IF($H$8=Scenarios!$D$7,VLOOKUP(Assumptions!J39,Scenarios!$B$7:$E$57,MATCH($H$8,Scenarios!$B$7:$E$7,0),FALSE),IF($H$8=Scenarios!$C$7,VLOOKUP(Assumptions!J39,Scenarios!$B$7:$E$57,MATCH($H$8,Scenarios!$B$7:$E$7,0),FALSE),IF($H$8=Scenarios!$E$7,VLOOKUP(Assumptions!J39,Scenarios!$B$7:$E$57,MATCH($H$8,Scenarios!$B$7:$E$7,0),FALSE),0)))</f>
        <v>0.8</v>
      </c>
    </row>
    <row r="40" spans="2:19" x14ac:dyDescent="0.3">
      <c r="B40" s="231"/>
      <c r="H40" s="214"/>
      <c r="J40" s="213"/>
      <c r="P40" s="214"/>
    </row>
    <row r="41" spans="2:19" x14ac:dyDescent="0.3">
      <c r="B41" s="231"/>
      <c r="C41" s="70" t="s">
        <v>687</v>
      </c>
      <c r="H41" s="214"/>
      <c r="J41" s="213"/>
      <c r="P41" s="214"/>
    </row>
    <row r="42" spans="2:19" x14ac:dyDescent="0.3">
      <c r="B42" s="231" t="s">
        <v>20</v>
      </c>
      <c r="C42" s="3" t="s">
        <v>41</v>
      </c>
      <c r="H42" s="214">
        <v>140</v>
      </c>
      <c r="J42" s="213"/>
      <c r="P42" s="214"/>
    </row>
    <row r="43" spans="2:19" x14ac:dyDescent="0.3">
      <c r="B43" s="231" t="s">
        <v>20</v>
      </c>
      <c r="C43" s="3" t="s">
        <v>599</v>
      </c>
      <c r="H43" s="217">
        <f>IF($H$8=Scenarios!$D$7,VLOOKUP(Assumptions!C43,Scenarios!$B$7:$E$57,MATCH($H$8,Scenarios!$B$7:$E$7,0),FALSE),IF($H$8=Scenarios!$C$7,VLOOKUP(Assumptions!C43,Scenarios!$B$7:$E$57,MATCH($H$8,Scenarios!$B$7:$E$7,0),FALSE),IF($H$8=Scenarios!$E$7,VLOOKUP(Assumptions!C43,Scenarios!$B$7:$E$57,MATCH($H$8,Scenarios!$B$7:$E$7,0),FALSE),0)))</f>
        <v>0.4</v>
      </c>
      <c r="J43" s="213"/>
      <c r="P43" s="214"/>
    </row>
    <row r="44" spans="2:19" x14ac:dyDescent="0.3">
      <c r="B44" s="231"/>
      <c r="H44" s="217"/>
      <c r="J44" s="213"/>
      <c r="P44" s="214"/>
    </row>
    <row r="45" spans="2:19" x14ac:dyDescent="0.3">
      <c r="B45" s="231"/>
      <c r="C45" s="185" t="s">
        <v>691</v>
      </c>
      <c r="H45" s="214"/>
      <c r="J45" s="213"/>
      <c r="P45" s="214"/>
    </row>
    <row r="46" spans="2:19" x14ac:dyDescent="0.3">
      <c r="B46" s="231" t="s">
        <v>20</v>
      </c>
      <c r="C46" s="3" t="s">
        <v>48</v>
      </c>
      <c r="H46" s="209">
        <f>IF($H$8=Scenarios!$D$7,VLOOKUP(Assumptions!C46,Scenarios!$B$7:$E$57,MATCH($H$8,Scenarios!$B$7:$E$7,0),FALSE),IF($H$8=Scenarios!$C$7,VLOOKUP(Assumptions!C46,Scenarios!$B$7:$E$57,MATCH($H$8,Scenarios!$B$7:$E$7,0),FALSE),IF($H$8=Scenarios!$E$7,VLOOKUP(Assumptions!C46,Scenarios!$B$7:$E$57,MATCH($H$8,Scenarios!$B$7:$E$7,0),FALSE),0)))</f>
        <v>2032</v>
      </c>
      <c r="J46" s="213"/>
      <c r="P46" s="214"/>
    </row>
    <row r="47" spans="2:19" x14ac:dyDescent="0.3">
      <c r="B47" s="231" t="s">
        <v>20</v>
      </c>
      <c r="C47" s="208" t="s">
        <v>49</v>
      </c>
      <c r="H47" s="217">
        <v>2.5000000000000001E-3</v>
      </c>
      <c r="J47" s="213"/>
      <c r="P47" s="214"/>
    </row>
    <row r="48" spans="2:19" x14ac:dyDescent="0.3">
      <c r="B48" s="231" t="s">
        <v>20</v>
      </c>
      <c r="C48" s="3" t="s">
        <v>860</v>
      </c>
      <c r="H48" s="217">
        <f>IF($H$8=Scenarios!$D$7,VLOOKUP(Assumptions!C48,Scenarios!$B$7:$E$57,MATCH($H$8,Scenarios!$B$7:$E$7,0),FALSE),IF($H$8=Scenarios!$C$7,VLOOKUP(Assumptions!C48,Scenarios!$B$7:$E$57,MATCH($H$8,Scenarios!$B$7:$E$7,0),FALSE),IF($H$8=Scenarios!$E$7,VLOOKUP(Assumptions!C48,Scenarios!$B$7:$E$57,MATCH($H$8,Scenarios!$B$7:$E$7,0),FALSE),0)))</f>
        <v>5.0000000000000001E-4</v>
      </c>
      <c r="I48" s="31"/>
      <c r="J48" s="213"/>
      <c r="P48" s="214"/>
    </row>
    <row r="49" spans="2:16" x14ac:dyDescent="0.3">
      <c r="B49" s="231" t="s">
        <v>20</v>
      </c>
      <c r="C49" s="3" t="s">
        <v>50</v>
      </c>
      <c r="H49" s="217">
        <v>0.2077</v>
      </c>
      <c r="I49" s="31"/>
      <c r="J49" s="213"/>
      <c r="P49" s="214"/>
    </row>
    <row r="50" spans="2:16" x14ac:dyDescent="0.3">
      <c r="B50" s="231" t="s">
        <v>20</v>
      </c>
      <c r="C50" s="3" t="s">
        <v>662</v>
      </c>
      <c r="H50" s="217">
        <f>IF($H$8=Scenarios!$D$7,VLOOKUP(Assumptions!C50,Scenarios!$B$7:$E$57,MATCH($H$8,Scenarios!$B$7:$E$7,0),FALSE),IF($H$8=Scenarios!$C$7,VLOOKUP(Assumptions!C50,Scenarios!$B$7:$E$57,MATCH($H$8,Scenarios!$B$7:$E$7,0),FALSE),IF($H$8=Scenarios!$E$7,VLOOKUP(Assumptions!C50,Scenarios!$B$7:$E$57,MATCH($H$8,Scenarios!$B$7:$E$7,0),FALSE),0)))</f>
        <v>0.18000000000000002</v>
      </c>
      <c r="I50" s="31"/>
      <c r="J50" s="213"/>
      <c r="P50" s="214"/>
    </row>
    <row r="51" spans="2:16" x14ac:dyDescent="0.3">
      <c r="B51" s="232" t="s">
        <v>20</v>
      </c>
      <c r="C51" s="210" t="s">
        <v>51</v>
      </c>
      <c r="D51" s="211"/>
      <c r="E51" s="211"/>
      <c r="F51" s="211"/>
      <c r="G51" s="211"/>
      <c r="H51" s="219">
        <v>0.66500000000000004</v>
      </c>
      <c r="I51" s="31"/>
      <c r="J51" s="215"/>
      <c r="K51" s="211"/>
      <c r="L51" s="211"/>
      <c r="M51" s="211"/>
      <c r="N51" s="211"/>
      <c r="O51" s="216"/>
      <c r="P51" s="212"/>
    </row>
    <row r="52" spans="2:16" x14ac:dyDescent="0.3">
      <c r="B52" s="233"/>
    </row>
    <row r="53" spans="2:16" ht="15.5" x14ac:dyDescent="0.35">
      <c r="B53" s="242" t="s">
        <v>57</v>
      </c>
      <c r="C53" s="11"/>
      <c r="D53" s="19"/>
      <c r="E53" s="19"/>
      <c r="F53" s="19"/>
      <c r="G53" s="19"/>
      <c r="H53" s="19"/>
      <c r="J53" s="107" t="s">
        <v>58</v>
      </c>
      <c r="K53" s="19"/>
      <c r="L53" s="19"/>
      <c r="M53" s="19"/>
      <c r="N53" s="19"/>
      <c r="O53" s="176"/>
      <c r="P53" s="19"/>
    </row>
    <row r="54" spans="2:16" s="22" customFormat="1" ht="3.65" customHeight="1" x14ac:dyDescent="0.3">
      <c r="B54" s="234"/>
      <c r="C54" s="201"/>
      <c r="D54" s="202"/>
      <c r="E54" s="202"/>
      <c r="F54" s="202"/>
      <c r="G54" s="202"/>
      <c r="H54" s="202"/>
      <c r="J54" s="201"/>
      <c r="K54" s="202"/>
      <c r="L54" s="202"/>
      <c r="M54" s="202"/>
      <c r="N54" s="202"/>
      <c r="O54" s="202"/>
      <c r="P54" s="202"/>
    </row>
    <row r="55" spans="2:16" x14ac:dyDescent="0.3">
      <c r="B55" s="231"/>
      <c r="C55" s="185" t="s">
        <v>683</v>
      </c>
      <c r="H55" s="214"/>
      <c r="J55" s="220" t="s">
        <v>693</v>
      </c>
      <c r="P55" s="214"/>
    </row>
    <row r="56" spans="2:16" x14ac:dyDescent="0.3">
      <c r="B56" s="231"/>
      <c r="C56" s="70" t="s">
        <v>70</v>
      </c>
      <c r="H56" s="214"/>
      <c r="J56" s="213" t="s">
        <v>664</v>
      </c>
      <c r="O56" s="55" t="s">
        <v>35</v>
      </c>
      <c r="P56" s="218">
        <v>0.06</v>
      </c>
    </row>
    <row r="57" spans="2:16" x14ac:dyDescent="0.3">
      <c r="B57" s="231" t="s">
        <v>20</v>
      </c>
      <c r="C57" s="3" t="s">
        <v>59</v>
      </c>
      <c r="H57" s="217">
        <f>345/672</f>
        <v>0.5133928571428571</v>
      </c>
      <c r="J57" s="213" t="s">
        <v>666</v>
      </c>
      <c r="P57" s="217">
        <f>IF($H$8=Scenarios!$D$7,VLOOKUP(Assumptions!J57,Scenarios!$B$7:$E$57,MATCH($H$8,Scenarios!$B$7:$E$7,0),FALSE),IF($H$8=Scenarios!$C$7,VLOOKUP(Assumptions!J57,Scenarios!$B$7:$E$57,MATCH($H$8,Scenarios!$B$7:$E$7,0),FALSE),IF($H$8=Scenarios!$E$7,VLOOKUP(Assumptions!J57,Scenarios!$B$7:$E$57,MATCH($H$8,Scenarios!$B$7:$E$7,0),FALSE),0)))</f>
        <v>0.1</v>
      </c>
    </row>
    <row r="58" spans="2:16" x14ac:dyDescent="0.3">
      <c r="B58" s="231" t="s">
        <v>20</v>
      </c>
      <c r="C58" s="3" t="s">
        <v>72</v>
      </c>
      <c r="H58" s="217">
        <f>239/672</f>
        <v>0.35565476190476192</v>
      </c>
      <c r="J58" s="213" t="s">
        <v>63</v>
      </c>
      <c r="P58" s="217"/>
    </row>
    <row r="59" spans="2:16" x14ac:dyDescent="0.3">
      <c r="B59" s="231" t="s">
        <v>20</v>
      </c>
      <c r="C59" s="3" t="s">
        <v>73</v>
      </c>
      <c r="H59" s="217">
        <f>88/672</f>
        <v>0.13095238095238096</v>
      </c>
      <c r="J59" s="213" t="s">
        <v>65</v>
      </c>
      <c r="P59" s="217">
        <v>0.14000000000000001</v>
      </c>
    </row>
    <row r="60" spans="2:16" x14ac:dyDescent="0.3">
      <c r="B60" s="231"/>
      <c r="H60" s="217"/>
      <c r="J60" s="213" t="s">
        <v>67</v>
      </c>
      <c r="P60" s="217">
        <v>0.1</v>
      </c>
    </row>
    <row r="61" spans="2:16" x14ac:dyDescent="0.3">
      <c r="B61" s="231"/>
      <c r="C61" s="185" t="s">
        <v>53</v>
      </c>
      <c r="H61" s="217"/>
      <c r="J61" s="213" t="s">
        <v>69</v>
      </c>
      <c r="P61" s="217">
        <v>0.08</v>
      </c>
    </row>
    <row r="62" spans="2:16" x14ac:dyDescent="0.3">
      <c r="B62" s="231" t="s">
        <v>20</v>
      </c>
      <c r="C62" s="3" t="s">
        <v>74</v>
      </c>
      <c r="H62" s="217">
        <f>8.5%-1.5%</f>
        <v>7.0000000000000007E-2</v>
      </c>
      <c r="J62" s="213" t="s">
        <v>667</v>
      </c>
      <c r="P62" s="217">
        <v>6.5000000000000002E-2</v>
      </c>
    </row>
    <row r="63" spans="2:16" x14ac:dyDescent="0.3">
      <c r="B63" s="231" t="s">
        <v>20</v>
      </c>
      <c r="C63" s="3" t="s">
        <v>75</v>
      </c>
      <c r="H63" s="217">
        <f>7.59%-1.5%</f>
        <v>6.0899999999999996E-2</v>
      </c>
      <c r="J63" s="213" t="s">
        <v>68</v>
      </c>
      <c r="P63" s="217">
        <f>IF($H$8=Scenarios!$D$7,VLOOKUP(Assumptions!J63,Scenarios!$B$7:$E$57,MATCH($H$8,Scenarios!$B$7:$E$7,0),FALSE),IF($H$8=Scenarios!$C$7,VLOOKUP(Assumptions!J63,Scenarios!$B$7:$E$57,MATCH($H$8,Scenarios!$B$7:$E$7,0),FALSE),IF($H$8=Scenarios!$E$7,VLOOKUP(Assumptions!J63,Scenarios!$B$7:$E$57,MATCH($H$8,Scenarios!$B$7:$E$7,0),FALSE),0)))</f>
        <v>5.7500000000000002E-2</v>
      </c>
    </row>
    <row r="64" spans="2:16" x14ac:dyDescent="0.3">
      <c r="B64" s="231"/>
      <c r="H64" s="217"/>
      <c r="J64" s="221"/>
      <c r="P64" s="214"/>
    </row>
    <row r="65" spans="2:17" x14ac:dyDescent="0.3">
      <c r="B65" s="231"/>
      <c r="C65" s="185" t="s">
        <v>692</v>
      </c>
      <c r="H65" s="214"/>
      <c r="J65" s="221"/>
      <c r="P65" s="214"/>
    </row>
    <row r="66" spans="2:17" x14ac:dyDescent="0.3">
      <c r="B66" s="231"/>
      <c r="C66" s="70" t="s">
        <v>60</v>
      </c>
      <c r="H66" s="214"/>
      <c r="J66" s="213"/>
      <c r="P66" s="214"/>
    </row>
    <row r="67" spans="2:17" x14ac:dyDescent="0.3">
      <c r="B67" s="231" t="s">
        <v>20</v>
      </c>
      <c r="C67" s="3" t="s">
        <v>61</v>
      </c>
      <c r="F67" s="18" t="s">
        <v>62</v>
      </c>
      <c r="H67" s="214">
        <v>241.5</v>
      </c>
      <c r="J67" s="213"/>
      <c r="P67" s="214"/>
    </row>
    <row r="68" spans="2:17" x14ac:dyDescent="0.3">
      <c r="B68" s="231" t="s">
        <v>20</v>
      </c>
      <c r="C68" s="3" t="s">
        <v>38</v>
      </c>
      <c r="F68" s="18" t="s">
        <v>26</v>
      </c>
      <c r="H68" s="214">
        <v>15.1</v>
      </c>
      <c r="J68" s="213"/>
      <c r="P68" s="214"/>
    </row>
    <row r="69" spans="2:17" x14ac:dyDescent="0.3">
      <c r="B69" s="231" t="s">
        <v>20</v>
      </c>
      <c r="C69" s="3" t="s">
        <v>665</v>
      </c>
      <c r="H69" s="217">
        <v>7.0000000000000007E-2</v>
      </c>
      <c r="J69" s="213"/>
      <c r="P69" s="214"/>
      <c r="Q69" s="27"/>
    </row>
    <row r="70" spans="2:17" x14ac:dyDescent="0.3">
      <c r="B70" s="231" t="s">
        <v>20</v>
      </c>
      <c r="C70" s="3" t="s">
        <v>66</v>
      </c>
      <c r="F70" s="18" t="s">
        <v>26</v>
      </c>
      <c r="H70" s="214">
        <f>H69*H68</f>
        <v>1.0570000000000002</v>
      </c>
      <c r="J70" s="213"/>
      <c r="P70" s="214"/>
      <c r="Q70" s="27"/>
    </row>
    <row r="71" spans="2:17" x14ac:dyDescent="0.3">
      <c r="B71" s="231" t="s">
        <v>20</v>
      </c>
      <c r="C71" s="3" t="s">
        <v>68</v>
      </c>
      <c r="H71" s="217">
        <f>IF($H$8=Scenarios!$D$7,VLOOKUP(Assumptions!C71,Scenarios!$B$7:$E$57,MATCH($H$8,Scenarios!$B$7:$E$7,0),FALSE),IF($H$8=Scenarios!$C$7,VLOOKUP(Assumptions!C71,Scenarios!$B$7:$E$57,MATCH($H$8,Scenarios!$B$7:$E$7,0),FALSE),IF($H$8=Scenarios!$E$7,VLOOKUP(Assumptions!C71,Scenarios!$B$7:$E$57,MATCH($H$8,Scenarios!$B$7:$E$7,0),FALSE),0)))</f>
        <v>5.7500000000000002E-2</v>
      </c>
      <c r="J71" s="213"/>
      <c r="P71" s="214"/>
      <c r="Q71" s="27"/>
    </row>
    <row r="72" spans="2:17" x14ac:dyDescent="0.3">
      <c r="B72" s="231"/>
      <c r="H72" s="214"/>
      <c r="J72" s="213"/>
      <c r="P72" s="214"/>
      <c r="Q72" s="27"/>
    </row>
    <row r="73" spans="2:17" x14ac:dyDescent="0.3">
      <c r="B73" s="231" t="s">
        <v>20</v>
      </c>
      <c r="C73" s="70" t="s">
        <v>602</v>
      </c>
      <c r="F73" s="55" t="s">
        <v>71</v>
      </c>
      <c r="H73" s="217">
        <v>0.14000000000000001</v>
      </c>
      <c r="J73" s="213"/>
      <c r="P73" s="214"/>
    </row>
    <row r="74" spans="2:17" x14ac:dyDescent="0.3">
      <c r="B74" s="232" t="s">
        <v>20</v>
      </c>
      <c r="C74" s="223" t="s">
        <v>603</v>
      </c>
      <c r="D74" s="211"/>
      <c r="E74" s="211"/>
      <c r="F74" s="216" t="s">
        <v>71</v>
      </c>
      <c r="G74" s="211"/>
      <c r="H74" s="219">
        <v>0.15</v>
      </c>
      <c r="J74" s="215"/>
      <c r="K74" s="211"/>
      <c r="L74" s="211"/>
      <c r="M74" s="211"/>
      <c r="N74" s="211"/>
      <c r="O74" s="216"/>
      <c r="P74" s="212"/>
    </row>
    <row r="75" spans="2:17" x14ac:dyDescent="0.3">
      <c r="B75" s="233"/>
      <c r="C75" s="18"/>
    </row>
    <row r="76" spans="2:17" ht="15.5" x14ac:dyDescent="0.35">
      <c r="B76" s="242" t="s">
        <v>76</v>
      </c>
      <c r="C76" s="11"/>
      <c r="D76" s="19"/>
      <c r="E76" s="19"/>
      <c r="F76" s="19"/>
      <c r="G76" s="19"/>
      <c r="H76" s="19"/>
      <c r="J76" s="107" t="s">
        <v>77</v>
      </c>
      <c r="K76" s="19"/>
      <c r="L76" s="19"/>
      <c r="M76" s="19"/>
      <c r="N76" s="19"/>
      <c r="O76" s="176"/>
      <c r="P76" s="19"/>
    </row>
    <row r="77" spans="2:17" ht="3.65" customHeight="1" x14ac:dyDescent="0.3">
      <c r="B77" s="234"/>
      <c r="C77" s="108"/>
      <c r="D77" s="20"/>
      <c r="E77" s="20"/>
      <c r="F77" s="20"/>
      <c r="G77" s="20"/>
      <c r="H77" s="20"/>
      <c r="J77" s="108"/>
      <c r="K77" s="20"/>
      <c r="L77" s="20"/>
      <c r="M77" s="20"/>
      <c r="N77" s="20"/>
      <c r="O77" s="177"/>
      <c r="P77" s="20"/>
    </row>
    <row r="78" spans="2:17" x14ac:dyDescent="0.3">
      <c r="B78" s="231"/>
      <c r="C78" s="185" t="s">
        <v>683</v>
      </c>
      <c r="H78" s="214"/>
      <c r="J78" s="220" t="s">
        <v>695</v>
      </c>
      <c r="P78" s="214"/>
    </row>
    <row r="79" spans="2:17" ht="28" x14ac:dyDescent="0.3">
      <c r="B79" s="231" t="s">
        <v>20</v>
      </c>
      <c r="C79" s="208" t="s">
        <v>85</v>
      </c>
      <c r="H79" s="214"/>
      <c r="J79" s="221" t="s">
        <v>686</v>
      </c>
      <c r="P79" s="214"/>
    </row>
    <row r="80" spans="2:17" x14ac:dyDescent="0.3">
      <c r="B80" s="231"/>
      <c r="C80" s="185"/>
      <c r="H80" s="214"/>
      <c r="J80" s="213" t="s">
        <v>78</v>
      </c>
      <c r="O80" s="55" t="s">
        <v>26</v>
      </c>
      <c r="P80" s="214">
        <v>515</v>
      </c>
    </row>
    <row r="81" spans="2:18" x14ac:dyDescent="0.3">
      <c r="B81" s="231"/>
      <c r="C81" s="185" t="s">
        <v>53</v>
      </c>
      <c r="H81" s="214"/>
      <c r="J81" s="213" t="s">
        <v>80</v>
      </c>
      <c r="P81" s="218">
        <v>0.64</v>
      </c>
    </row>
    <row r="82" spans="2:18" x14ac:dyDescent="0.3">
      <c r="B82" s="231" t="s">
        <v>20</v>
      </c>
      <c r="C82" s="3" t="s">
        <v>79</v>
      </c>
      <c r="F82" s="18" t="s">
        <v>26</v>
      </c>
      <c r="H82" s="214">
        <v>2390</v>
      </c>
      <c r="J82" s="213" t="s">
        <v>82</v>
      </c>
      <c r="P82" s="218">
        <f>P80/(P81*1473)</f>
        <v>0.54629158180583837</v>
      </c>
      <c r="R82" s="27"/>
    </row>
    <row r="83" spans="2:18" x14ac:dyDescent="0.3">
      <c r="B83" s="231" t="s">
        <v>20</v>
      </c>
      <c r="C83" s="3" t="s">
        <v>81</v>
      </c>
      <c r="F83" s="18" t="s">
        <v>26</v>
      </c>
      <c r="H83" s="214">
        <v>77</v>
      </c>
      <c r="J83" s="213"/>
      <c r="P83" s="214"/>
    </row>
    <row r="84" spans="2:18" x14ac:dyDescent="0.3">
      <c r="B84" s="231" t="s">
        <v>20</v>
      </c>
      <c r="C84" s="3" t="s">
        <v>83</v>
      </c>
      <c r="F84" s="18" t="s">
        <v>84</v>
      </c>
      <c r="H84" s="214">
        <f>H82/H83</f>
        <v>31.038961038961038</v>
      </c>
      <c r="J84" s="221" t="s">
        <v>687</v>
      </c>
      <c r="P84" s="214"/>
    </row>
    <row r="85" spans="2:18" x14ac:dyDescent="0.3">
      <c r="B85" s="231"/>
      <c r="H85" s="214"/>
      <c r="J85" s="213" t="s">
        <v>670</v>
      </c>
      <c r="P85" s="217">
        <f>IF($H$8=Scenarios!$D$7,VLOOKUP(Assumptions!J85,Scenarios!$B$7:$E$57,MATCH($H$8,Scenarios!$B$7:$E$7,0),FALSE),IF($H$8=Scenarios!$C$7,VLOOKUP(Assumptions!J85,Scenarios!$B$7:$E$57,MATCH($H$8,Scenarios!$B$7:$E$7,0),FALSE),IF($H$8=Scenarios!$E$7,VLOOKUP(Assumptions!J85,Scenarios!$B$7:$E$57,MATCH($H$8,Scenarios!$B$7:$E$7,0),FALSE),0)))</f>
        <v>0.8</v>
      </c>
    </row>
    <row r="86" spans="2:18" x14ac:dyDescent="0.3">
      <c r="B86" s="231"/>
      <c r="C86" s="185" t="s">
        <v>694</v>
      </c>
      <c r="H86" s="214"/>
      <c r="J86" s="213" t="s">
        <v>669</v>
      </c>
      <c r="P86" s="217">
        <v>0.75</v>
      </c>
    </row>
    <row r="87" spans="2:18" x14ac:dyDescent="0.3">
      <c r="B87" s="231" t="s">
        <v>20</v>
      </c>
      <c r="C87" s="3" t="s">
        <v>604</v>
      </c>
      <c r="H87" s="217">
        <f>H83/P80</f>
        <v>0.14951456310679612</v>
      </c>
      <c r="J87" s="213" t="s">
        <v>671</v>
      </c>
      <c r="P87" s="214">
        <f>P85*1500*P86</f>
        <v>900</v>
      </c>
    </row>
    <row r="88" spans="2:18" x14ac:dyDescent="0.3">
      <c r="B88" s="231" t="s">
        <v>20</v>
      </c>
      <c r="C88" s="3" t="s">
        <v>668</v>
      </c>
      <c r="H88" s="217">
        <f>IF($H$8=Scenarios!$D$7,VLOOKUP(Assumptions!C88,Scenarios!$B$7:$E$57,MATCH($H$8,Scenarios!$B$7:$E$7,0),FALSE),IF($H$8=Scenarios!$C$7,VLOOKUP(Assumptions!C88,Scenarios!$B$7:$E$57,MATCH($H$8,Scenarios!$B$7:$E$7,0),FALSE),IF($H$8=Scenarios!$E$7,VLOOKUP(Assumptions!C88,Scenarios!$B$7:$E$57,MATCH($H$8,Scenarios!$B$7:$E$7,0),FALSE),0)))</f>
        <v>0.14000000000000001</v>
      </c>
      <c r="J88" s="213"/>
      <c r="P88" s="214"/>
    </row>
    <row r="89" spans="2:18" x14ac:dyDescent="0.3">
      <c r="B89" s="231" t="s">
        <v>20</v>
      </c>
      <c r="C89" s="3" t="s">
        <v>86</v>
      </c>
      <c r="H89" s="217">
        <f>IF($H$8=Scenarios!$D$7,VLOOKUP(Assumptions!C89,Scenarios!$B$7:$E$57,MATCH($H$8,Scenarios!$B$7:$E$7,0),FALSE),IF($H$8=Scenarios!$C$7,VLOOKUP(Assumptions!C89,Scenarios!$B$7:$E$57,MATCH($H$8,Scenarios!$B$7:$E$7,0),FALSE),IF($H$8=Scenarios!$E$7,VLOOKUP(Assumptions!C89,Scenarios!$B$7:$E$57,MATCH($H$8,Scenarios!$B$7:$E$7,0),FALSE),0)))</f>
        <v>0.04</v>
      </c>
      <c r="J89" s="213"/>
      <c r="P89" s="214"/>
    </row>
    <row r="90" spans="2:18" x14ac:dyDescent="0.3">
      <c r="B90" s="232" t="s">
        <v>20</v>
      </c>
      <c r="C90" s="210" t="s">
        <v>672</v>
      </c>
      <c r="D90" s="211"/>
      <c r="E90" s="211"/>
      <c r="F90" s="211"/>
      <c r="G90" s="211"/>
      <c r="H90" s="212">
        <f>H84*(1+H89)^9</f>
        <v>44.178119892043497</v>
      </c>
      <c r="J90" s="224"/>
      <c r="K90" s="211"/>
      <c r="L90" s="211"/>
      <c r="M90" s="211"/>
      <c r="N90" s="211"/>
      <c r="O90" s="216"/>
      <c r="P90" s="212"/>
    </row>
    <row r="91" spans="2:18" x14ac:dyDescent="0.3">
      <c r="B91" s="233"/>
    </row>
    <row r="92" spans="2:18" ht="15.5" x14ac:dyDescent="0.35">
      <c r="B92" s="242" t="s">
        <v>87</v>
      </c>
      <c r="C92" s="11"/>
      <c r="D92" s="19"/>
      <c r="E92" s="19"/>
      <c r="F92" s="19"/>
      <c r="G92" s="19"/>
      <c r="H92" s="19"/>
      <c r="J92" s="107" t="s">
        <v>368</v>
      </c>
      <c r="K92" s="19"/>
      <c r="L92" s="19"/>
      <c r="M92" s="19"/>
      <c r="N92" s="19"/>
      <c r="O92" s="176"/>
      <c r="P92" s="19"/>
    </row>
    <row r="93" spans="2:18" ht="3.65" customHeight="1" x14ac:dyDescent="0.3">
      <c r="B93" s="234"/>
      <c r="C93" s="108"/>
      <c r="D93" s="20"/>
      <c r="E93" s="20"/>
      <c r="F93" s="20"/>
      <c r="G93" s="20"/>
      <c r="H93" s="20"/>
      <c r="J93" s="108"/>
      <c r="K93" s="20"/>
      <c r="L93" s="20"/>
      <c r="M93" s="20"/>
      <c r="N93" s="20"/>
      <c r="O93" s="177"/>
      <c r="P93" s="20"/>
    </row>
    <row r="94" spans="2:18" x14ac:dyDescent="0.3">
      <c r="B94" s="231"/>
      <c r="C94" s="185" t="s">
        <v>89</v>
      </c>
      <c r="H94" s="214"/>
      <c r="J94" s="220" t="s">
        <v>705</v>
      </c>
      <c r="P94" s="214"/>
    </row>
    <row r="95" spans="2:18" x14ac:dyDescent="0.3">
      <c r="B95" s="231" t="s">
        <v>20</v>
      </c>
      <c r="C95" s="3" t="s">
        <v>92</v>
      </c>
      <c r="H95" s="217">
        <f>IF($H$8=Scenarios!$D$7,VLOOKUP(Assumptions!C95,Scenarios!$B$7:$E$57,MATCH($H$8,Scenarios!$B$7:$E$7,0),FALSE),IF($H$8=Scenarios!$C$7,VLOOKUP(Assumptions!C95,Scenarios!$B$7:$E$57,MATCH($H$8,Scenarios!$B$7:$E$7,0),FALSE),IF($H$8=Scenarios!$E$7,VLOOKUP(Assumptions!C95,Scenarios!$B$7:$E$57,MATCH($H$8,Scenarios!$B$7:$E$7,0),FALSE),0)))</f>
        <v>1.08E-3</v>
      </c>
      <c r="J95" s="213" t="s">
        <v>90</v>
      </c>
      <c r="P95" s="214" t="s">
        <v>91</v>
      </c>
    </row>
    <row r="96" spans="2:18" x14ac:dyDescent="0.3">
      <c r="B96" s="231" t="s">
        <v>20</v>
      </c>
      <c r="C96" s="3" t="s">
        <v>95</v>
      </c>
      <c r="H96" s="217"/>
      <c r="J96" s="213" t="s">
        <v>93</v>
      </c>
      <c r="P96" s="214" t="s">
        <v>94</v>
      </c>
    </row>
    <row r="97" spans="2:16" x14ac:dyDescent="0.3">
      <c r="B97" s="231"/>
      <c r="C97" s="3" t="s">
        <v>97</v>
      </c>
      <c r="H97" s="225">
        <f>IF($H$8=Scenarios!$D$7,VLOOKUP(Assumptions!C97,Scenarios!$B$7:$E$57,MATCH($H$8,Scenarios!$B$7:$E$7,0),FALSE),IF($H$8=Scenarios!$C$7,VLOOKUP(Assumptions!C97,Scenarios!$B$7:$E$57,MATCH($H$8,Scenarios!$B$7:$E$7,0),FALSE),IF($H$8=Scenarios!$E$7,VLOOKUP(Assumptions!C97,Scenarios!$B$7:$E$57,MATCH($H$8,Scenarios!$B$7:$E$7,0),FALSE),0)))</f>
        <v>28</v>
      </c>
      <c r="J97" s="213" t="s">
        <v>96</v>
      </c>
      <c r="P97" s="217">
        <v>0.16800000000000001</v>
      </c>
    </row>
    <row r="98" spans="2:16" x14ac:dyDescent="0.3">
      <c r="B98" s="231"/>
      <c r="C98" s="3" t="s">
        <v>676</v>
      </c>
      <c r="H98" s="225">
        <f>IF($H$8=Scenarios!$D$7,VLOOKUP(Assumptions!C98,Scenarios!$B$7:$E$57,MATCH($H$8,Scenarios!$B$7:$E$7,0),FALSE),IF($H$8=Scenarios!$C$7,VLOOKUP(Assumptions!C98,Scenarios!$B$7:$E$57,MATCH($H$8,Scenarios!$B$7:$E$7,0),FALSE),IF($H$8=Scenarios!$E$7,VLOOKUP(Assumptions!C98,Scenarios!$B$7:$E$57,MATCH($H$8,Scenarios!$B$7:$E$7,0),FALSE),0)))</f>
        <v>29</v>
      </c>
      <c r="J98" s="213" t="s">
        <v>98</v>
      </c>
      <c r="P98" s="222">
        <v>2</v>
      </c>
    </row>
    <row r="99" spans="2:16" x14ac:dyDescent="0.3">
      <c r="B99" s="231" t="s">
        <v>20</v>
      </c>
      <c r="C99" s="3" t="s">
        <v>99</v>
      </c>
      <c r="H99" s="217">
        <v>0.15129999999999999</v>
      </c>
      <c r="J99" s="213" t="s">
        <v>100</v>
      </c>
      <c r="P99" s="222">
        <v>1.51</v>
      </c>
    </row>
    <row r="100" spans="2:16" x14ac:dyDescent="0.3">
      <c r="B100" s="231"/>
      <c r="H100" s="214"/>
      <c r="J100" s="213" t="s">
        <v>101</v>
      </c>
      <c r="P100" s="222">
        <v>2.1</v>
      </c>
    </row>
    <row r="101" spans="2:16" x14ac:dyDescent="0.3">
      <c r="B101" s="231"/>
      <c r="C101" s="185" t="s">
        <v>102</v>
      </c>
      <c r="H101" s="214"/>
      <c r="J101" s="213" t="s">
        <v>103</v>
      </c>
      <c r="P101" s="218">
        <v>0.05</v>
      </c>
    </row>
    <row r="102" spans="2:16" x14ac:dyDescent="0.3">
      <c r="B102" s="231"/>
      <c r="C102" s="70" t="s">
        <v>686</v>
      </c>
      <c r="H102" s="214"/>
      <c r="J102" s="213" t="s">
        <v>108</v>
      </c>
      <c r="P102" s="222">
        <v>3.5</v>
      </c>
    </row>
    <row r="103" spans="2:16" x14ac:dyDescent="0.3">
      <c r="B103" s="231" t="s">
        <v>20</v>
      </c>
      <c r="C103" s="3" t="s">
        <v>104</v>
      </c>
      <c r="H103" s="217">
        <v>3.2500000000000001E-2</v>
      </c>
      <c r="J103" s="213"/>
      <c r="P103" s="218"/>
    </row>
    <row r="104" spans="2:16" x14ac:dyDescent="0.3">
      <c r="B104" s="235" t="s">
        <v>20</v>
      </c>
      <c r="C104" s="3" t="s">
        <v>105</v>
      </c>
      <c r="H104" s="217">
        <v>0.32800000000000001</v>
      </c>
      <c r="J104" s="220" t="s">
        <v>706</v>
      </c>
      <c r="P104" s="218"/>
    </row>
    <row r="105" spans="2:16" x14ac:dyDescent="0.3">
      <c r="B105" s="235" t="s">
        <v>20</v>
      </c>
      <c r="C105" s="3" t="s">
        <v>106</v>
      </c>
      <c r="H105" s="217">
        <v>7.4999999999999997E-2</v>
      </c>
      <c r="J105" s="213" t="s">
        <v>112</v>
      </c>
      <c r="P105" s="214">
        <v>1.36</v>
      </c>
    </row>
    <row r="106" spans="2:16" x14ac:dyDescent="0.3">
      <c r="B106" s="235" t="s">
        <v>20</v>
      </c>
      <c r="C106" s="3" t="s">
        <v>107</v>
      </c>
      <c r="H106" s="217">
        <v>0.08</v>
      </c>
      <c r="J106" s="213" t="s">
        <v>113</v>
      </c>
      <c r="P106" s="214"/>
    </row>
    <row r="107" spans="2:16" x14ac:dyDescent="0.3">
      <c r="B107" s="236"/>
      <c r="H107" s="218"/>
      <c r="J107" s="213"/>
      <c r="P107" s="222"/>
    </row>
    <row r="108" spans="2:16" x14ac:dyDescent="0.3">
      <c r="B108" s="236"/>
      <c r="C108" s="70" t="s">
        <v>687</v>
      </c>
      <c r="H108" s="218"/>
      <c r="J108" s="220" t="s">
        <v>109</v>
      </c>
      <c r="P108" s="214"/>
    </row>
    <row r="109" spans="2:16" x14ac:dyDescent="0.3">
      <c r="B109" s="237" t="s">
        <v>20</v>
      </c>
      <c r="C109" s="3" t="s">
        <v>104</v>
      </c>
      <c r="H109" s="217">
        <f>IF($H$8=Scenarios!$D$7,VLOOKUP(Assumptions!C109,Scenarios!$B$7:$E$57,MATCH($H$8,Scenarios!$B$7:$E$7,0),FALSE),IF($H$8=Scenarios!$C$7,VLOOKUP(Assumptions!C109,Scenarios!$B$7:$E$57,MATCH($H$8,Scenarios!$B$7:$E$7,0),FALSE),IF($H$8=Scenarios!$E$7,VLOOKUP(Assumptions!C109,Scenarios!$B$7:$E$57,MATCH($H$8,Scenarios!$B$7:$E$7,0),FALSE),0)))</f>
        <v>0.02</v>
      </c>
      <c r="J109" s="213" t="s">
        <v>110</v>
      </c>
      <c r="P109" s="214"/>
    </row>
    <row r="110" spans="2:16" x14ac:dyDescent="0.3">
      <c r="B110" s="237" t="s">
        <v>20</v>
      </c>
      <c r="C110" s="3" t="s">
        <v>105</v>
      </c>
      <c r="H110" s="217">
        <f>IF($H$8=Scenarios!$D$7,VLOOKUP(Assumptions!C110,Scenarios!$B$7:$E$57,MATCH($H$8,Scenarios!$B$7:$E$7,0),FALSE),IF($H$8=Scenarios!$C$7,VLOOKUP(Assumptions!C110,Scenarios!$B$7:$E$57,MATCH($H$8,Scenarios!$B$7:$E$7,0),FALSE),IF($H$8=Scenarios!$E$7,VLOOKUP(Assumptions!C110,Scenarios!$B$7:$E$57,MATCH($H$8,Scenarios!$B$7:$E$7,0),FALSE),0)))</f>
        <v>0.24</v>
      </c>
      <c r="J110" s="213" t="s">
        <v>27</v>
      </c>
      <c r="P110" s="217">
        <v>0.47499999999999998</v>
      </c>
    </row>
    <row r="111" spans="2:16" x14ac:dyDescent="0.3">
      <c r="B111" s="237" t="s">
        <v>20</v>
      </c>
      <c r="C111" s="3" t="s">
        <v>106</v>
      </c>
      <c r="H111" s="217">
        <f>IF($H$8=Scenarios!$D$7,VLOOKUP(Assumptions!C111,Scenarios!$B$7:$E$57,MATCH($H$8,Scenarios!$B$7:$E$7,0),FALSE),IF($H$8=Scenarios!$C$7,VLOOKUP(Assumptions!C111,Scenarios!$B$7:$E$57,MATCH($H$8,Scenarios!$B$7:$E$7,0),FALSE),IF($H$8=Scenarios!$E$7,VLOOKUP(Assumptions!C111,Scenarios!$B$7:$E$57,MATCH($H$8,Scenarios!$B$7:$E$7,0),FALSE),0)))</f>
        <v>7.4999999999999997E-2</v>
      </c>
      <c r="J111" s="213" t="s">
        <v>661</v>
      </c>
      <c r="P111" s="217">
        <v>0.4</v>
      </c>
    </row>
    <row r="112" spans="2:16" x14ac:dyDescent="0.3">
      <c r="B112" s="238" t="s">
        <v>20</v>
      </c>
      <c r="C112" s="210" t="s">
        <v>107</v>
      </c>
      <c r="D112" s="211"/>
      <c r="E112" s="211"/>
      <c r="F112" s="211"/>
      <c r="G112" s="211"/>
      <c r="H112" s="219">
        <f>IF($H$8=Scenarios!$D$7,VLOOKUP(Assumptions!C112,Scenarios!$B$7:$E$57,MATCH($H$8,Scenarios!$B$7:$E$7,0),FALSE),IF($H$8=Scenarios!$C$7,VLOOKUP(Assumptions!C112,Scenarios!$B$7:$E$57,MATCH($H$8,Scenarios!$B$7:$E$7,0),FALSE),IF($H$8=Scenarios!$E$7,VLOOKUP(Assumptions!C112,Scenarios!$B$7:$E$57,MATCH($H$8,Scenarios!$B$7:$E$7,0),FALSE),0)))</f>
        <v>0.05</v>
      </c>
      <c r="J112" s="215" t="s">
        <v>111</v>
      </c>
      <c r="K112" s="211"/>
      <c r="L112" s="211"/>
      <c r="M112" s="211"/>
      <c r="N112" s="211"/>
      <c r="O112" s="216"/>
      <c r="P112" s="212"/>
    </row>
    <row r="113" spans="2:16" x14ac:dyDescent="0.3">
      <c r="B113" s="233"/>
    </row>
    <row r="114" spans="2:16" ht="15.5" x14ac:dyDescent="0.35">
      <c r="B114" s="242" t="s">
        <v>114</v>
      </c>
      <c r="C114" s="11"/>
      <c r="D114" s="19"/>
      <c r="E114" s="19"/>
      <c r="F114" s="19"/>
      <c r="G114" s="19"/>
      <c r="H114" s="19"/>
      <c r="J114" s="107" t="s">
        <v>115</v>
      </c>
      <c r="K114" s="19"/>
      <c r="L114" s="19"/>
      <c r="M114" s="19"/>
      <c r="N114" s="19"/>
      <c r="O114" s="176"/>
      <c r="P114" s="19"/>
    </row>
    <row r="115" spans="2:16" ht="3.65" customHeight="1" x14ac:dyDescent="0.3">
      <c r="B115" s="234"/>
      <c r="C115" s="108"/>
      <c r="D115" s="20"/>
      <c r="E115" s="20"/>
      <c r="F115" s="20"/>
      <c r="G115" s="20"/>
      <c r="H115" s="20"/>
      <c r="J115" s="108"/>
      <c r="K115" s="20"/>
      <c r="L115" s="20"/>
      <c r="M115" s="20"/>
      <c r="N115" s="20"/>
      <c r="O115" s="177"/>
      <c r="P115" s="20"/>
    </row>
    <row r="116" spans="2:16" x14ac:dyDescent="0.3">
      <c r="B116" s="231" t="s">
        <v>20</v>
      </c>
      <c r="C116" s="3" t="s">
        <v>116</v>
      </c>
      <c r="H116" s="217">
        <v>0.1053</v>
      </c>
      <c r="J116" s="213" t="s">
        <v>117</v>
      </c>
      <c r="P116" s="214"/>
    </row>
    <row r="117" spans="2:16" x14ac:dyDescent="0.3">
      <c r="B117" s="231" t="s">
        <v>20</v>
      </c>
      <c r="C117" s="3" t="s">
        <v>118</v>
      </c>
      <c r="H117" s="218">
        <v>0.25</v>
      </c>
      <c r="J117" s="213" t="s">
        <v>119</v>
      </c>
      <c r="P117" s="214"/>
    </row>
    <row r="118" spans="2:16" x14ac:dyDescent="0.3">
      <c r="B118" s="231" t="s">
        <v>20</v>
      </c>
      <c r="C118" s="3" t="s">
        <v>120</v>
      </c>
      <c r="H118" s="214">
        <v>6.67</v>
      </c>
      <c r="J118" s="213" t="s">
        <v>121</v>
      </c>
      <c r="P118" s="214"/>
    </row>
    <row r="119" spans="2:16" ht="28" x14ac:dyDescent="0.3">
      <c r="B119" s="232" t="s">
        <v>20</v>
      </c>
      <c r="C119" s="226" t="s">
        <v>122</v>
      </c>
      <c r="D119" s="211"/>
      <c r="E119" s="211"/>
      <c r="F119" s="211"/>
      <c r="G119" s="211"/>
      <c r="H119" s="212"/>
      <c r="J119" s="215" t="s">
        <v>518</v>
      </c>
      <c r="K119" s="211"/>
      <c r="L119" s="211"/>
      <c r="M119" s="211"/>
      <c r="N119" s="211"/>
      <c r="O119" s="216"/>
      <c r="P119" s="219">
        <v>0.125</v>
      </c>
    </row>
    <row r="120" spans="2:16" x14ac:dyDescent="0.3">
      <c r="B120" s="233"/>
    </row>
    <row r="121" spans="2:16" ht="15.5" x14ac:dyDescent="0.35">
      <c r="B121" s="242" t="s">
        <v>123</v>
      </c>
      <c r="C121" s="11"/>
      <c r="D121" s="19"/>
      <c r="E121" s="19"/>
      <c r="F121" s="19"/>
      <c r="G121" s="19"/>
      <c r="H121" s="19"/>
      <c r="J121" s="107" t="s">
        <v>493</v>
      </c>
      <c r="K121" s="19"/>
      <c r="L121" s="19"/>
      <c r="M121" s="19"/>
      <c r="N121" s="19"/>
      <c r="O121" s="176"/>
      <c r="P121" s="19"/>
    </row>
    <row r="122" spans="2:16" ht="3.65" customHeight="1" x14ac:dyDescent="0.3">
      <c r="B122" s="234"/>
      <c r="C122" s="108"/>
      <c r="D122" s="20"/>
      <c r="E122" s="20"/>
      <c r="F122" s="20"/>
      <c r="G122" s="20"/>
      <c r="H122" s="20"/>
      <c r="J122" s="108"/>
      <c r="K122" s="20"/>
      <c r="L122" s="20"/>
      <c r="M122" s="20"/>
      <c r="N122" s="20"/>
      <c r="O122" s="177"/>
      <c r="P122" s="20"/>
    </row>
    <row r="123" spans="2:16" ht="14.5" x14ac:dyDescent="0.35">
      <c r="B123" s="231" t="s">
        <v>20</v>
      </c>
      <c r="C123" s="3" t="s">
        <v>124</v>
      </c>
      <c r="H123" s="217">
        <v>0.25168000000000001</v>
      </c>
      <c r="J123" s="220" t="s">
        <v>494</v>
      </c>
      <c r="K123" s="3"/>
      <c r="L123" s="3"/>
      <c r="M123" s="227"/>
      <c r="P123" s="214"/>
    </row>
    <row r="124" spans="2:16" x14ac:dyDescent="0.3">
      <c r="B124" s="231" t="s">
        <v>20</v>
      </c>
      <c r="C124" s="3" t="s">
        <v>125</v>
      </c>
      <c r="H124" s="214">
        <v>104</v>
      </c>
      <c r="J124" s="213" t="s">
        <v>696</v>
      </c>
      <c r="K124" s="3"/>
      <c r="L124" s="3"/>
      <c r="O124" s="56" t="s">
        <v>485</v>
      </c>
      <c r="P124" s="214">
        <v>60</v>
      </c>
    </row>
    <row r="125" spans="2:16" x14ac:dyDescent="0.3">
      <c r="B125" s="231" t="s">
        <v>20</v>
      </c>
      <c r="C125" s="3" t="s">
        <v>126</v>
      </c>
      <c r="H125" s="217">
        <v>0.27460000000000001</v>
      </c>
      <c r="J125" s="213" t="s">
        <v>697</v>
      </c>
      <c r="K125" s="3"/>
      <c r="L125" s="3"/>
      <c r="O125" s="56" t="s">
        <v>571</v>
      </c>
      <c r="P125" s="217">
        <v>0.14000000000000001</v>
      </c>
    </row>
    <row r="126" spans="2:16" x14ac:dyDescent="0.3">
      <c r="B126" s="231" t="s">
        <v>20</v>
      </c>
      <c r="C126" s="3" t="s">
        <v>127</v>
      </c>
      <c r="H126" s="218">
        <v>0.05</v>
      </c>
      <c r="J126" s="213" t="s">
        <v>698</v>
      </c>
      <c r="K126" s="3"/>
      <c r="L126" s="3"/>
      <c r="O126" s="56" t="s">
        <v>571</v>
      </c>
      <c r="P126" s="217">
        <v>3.5000000000000003E-2</v>
      </c>
    </row>
    <row r="127" spans="2:16" x14ac:dyDescent="0.3">
      <c r="B127" s="231"/>
      <c r="H127" s="214"/>
      <c r="J127" s="213"/>
      <c r="K127" s="3"/>
      <c r="L127" s="3"/>
      <c r="O127" s="56"/>
      <c r="P127" s="214"/>
    </row>
    <row r="128" spans="2:16" x14ac:dyDescent="0.3">
      <c r="B128" s="231"/>
      <c r="H128" s="214"/>
      <c r="J128" s="213"/>
      <c r="P128" s="214"/>
    </row>
    <row r="129" spans="2:16" ht="14.5" x14ac:dyDescent="0.35">
      <c r="B129" s="231"/>
      <c r="H129" s="214"/>
      <c r="J129" s="220" t="s">
        <v>495</v>
      </c>
      <c r="K129" s="3"/>
      <c r="L129" s="3"/>
      <c r="O129" s="227"/>
      <c r="P129" s="214"/>
    </row>
    <row r="130" spans="2:16" x14ac:dyDescent="0.3">
      <c r="B130" s="231"/>
      <c r="H130" s="214"/>
      <c r="J130" s="213" t="s">
        <v>699</v>
      </c>
      <c r="K130" s="3"/>
      <c r="L130" s="3"/>
      <c r="O130" s="56" t="s">
        <v>485</v>
      </c>
      <c r="P130" s="214">
        <v>62</v>
      </c>
    </row>
    <row r="131" spans="2:16" x14ac:dyDescent="0.3">
      <c r="B131" s="231"/>
      <c r="H131" s="214"/>
      <c r="J131" s="213" t="s">
        <v>700</v>
      </c>
      <c r="K131" s="3"/>
      <c r="L131" s="3"/>
      <c r="O131" s="56" t="s">
        <v>571</v>
      </c>
      <c r="P131" s="217">
        <v>0.03</v>
      </c>
    </row>
    <row r="132" spans="2:16" x14ac:dyDescent="0.3">
      <c r="B132" s="231"/>
      <c r="H132" s="214"/>
      <c r="J132" s="213" t="s">
        <v>701</v>
      </c>
      <c r="K132" s="3"/>
      <c r="L132" s="3"/>
      <c r="O132" s="56" t="s">
        <v>571</v>
      </c>
      <c r="P132" s="217">
        <v>9.5000000000000001E-2</v>
      </c>
    </row>
    <row r="133" spans="2:16" x14ac:dyDescent="0.3">
      <c r="B133" s="231"/>
      <c r="H133" s="214"/>
      <c r="J133" s="213" t="s">
        <v>702</v>
      </c>
      <c r="K133" s="3"/>
      <c r="L133" s="3"/>
      <c r="O133" s="56" t="s">
        <v>571</v>
      </c>
      <c r="P133" s="217">
        <v>0.57999999999999996</v>
      </c>
    </row>
    <row r="134" spans="2:16" x14ac:dyDescent="0.3">
      <c r="B134" s="232"/>
      <c r="C134" s="210"/>
      <c r="D134" s="211"/>
      <c r="E134" s="211"/>
      <c r="F134" s="211"/>
      <c r="G134" s="211"/>
      <c r="H134" s="212"/>
      <c r="J134" s="215" t="s">
        <v>703</v>
      </c>
      <c r="K134" s="210"/>
      <c r="L134" s="210"/>
      <c r="M134" s="211"/>
      <c r="N134" s="211"/>
      <c r="O134" s="228" t="s">
        <v>571</v>
      </c>
      <c r="P134" s="219">
        <v>2.5600000000000001E-2</v>
      </c>
    </row>
    <row r="135" spans="2:16" x14ac:dyDescent="0.3">
      <c r="B135" s="233"/>
    </row>
    <row r="136" spans="2:16" ht="15.5" x14ac:dyDescent="0.35">
      <c r="B136" s="242" t="s">
        <v>338</v>
      </c>
      <c r="C136" s="11"/>
      <c r="D136" s="19"/>
      <c r="E136" s="19"/>
      <c r="F136" s="19"/>
      <c r="G136" s="19"/>
      <c r="H136" s="19"/>
      <c r="J136" s="107" t="s">
        <v>707</v>
      </c>
      <c r="K136" s="11"/>
      <c r="L136" s="19"/>
      <c r="M136" s="19"/>
      <c r="N136" s="19"/>
      <c r="O136" s="176"/>
      <c r="P136" s="19"/>
    </row>
    <row r="137" spans="2:16" ht="3.65" customHeight="1" x14ac:dyDescent="0.3">
      <c r="B137" s="234"/>
      <c r="C137" s="108"/>
      <c r="D137" s="20"/>
      <c r="E137" s="20"/>
      <c r="F137" s="20"/>
      <c r="G137" s="20"/>
      <c r="H137" s="20"/>
      <c r="J137" s="108"/>
      <c r="K137" s="108"/>
      <c r="L137" s="20"/>
      <c r="M137" s="20"/>
      <c r="N137" s="20"/>
      <c r="O137" s="177"/>
      <c r="P137" s="20"/>
    </row>
    <row r="138" spans="2:16" x14ac:dyDescent="0.3">
      <c r="B138" s="231" t="s">
        <v>20</v>
      </c>
      <c r="C138" s="3" t="s">
        <v>516</v>
      </c>
      <c r="H138" s="214"/>
      <c r="J138" s="213" t="s">
        <v>752</v>
      </c>
      <c r="P138" s="217">
        <v>7.0749999999999993E-2</v>
      </c>
    </row>
    <row r="139" spans="2:16" x14ac:dyDescent="0.3">
      <c r="B139" s="231" t="s">
        <v>20</v>
      </c>
      <c r="C139" s="3" t="s">
        <v>517</v>
      </c>
      <c r="F139" s="18" t="s">
        <v>26</v>
      </c>
      <c r="H139" s="214">
        <v>13078</v>
      </c>
      <c r="J139" s="213" t="s">
        <v>753</v>
      </c>
      <c r="P139" s="217">
        <v>1.8700000000000001E-2</v>
      </c>
    </row>
    <row r="140" spans="2:16" x14ac:dyDescent="0.3">
      <c r="B140" s="231" t="s">
        <v>20</v>
      </c>
      <c r="C140" s="3" t="s">
        <v>704</v>
      </c>
      <c r="F140" s="18" t="s">
        <v>26</v>
      </c>
      <c r="H140" s="214">
        <v>10000</v>
      </c>
      <c r="J140" s="79" t="s">
        <v>751</v>
      </c>
      <c r="P140" s="119">
        <f>P138-P139</f>
        <v>5.2049999999999992E-2</v>
      </c>
    </row>
    <row r="141" spans="2:16" x14ac:dyDescent="0.3">
      <c r="B141" s="231"/>
      <c r="H141" s="214"/>
      <c r="J141" s="79"/>
      <c r="P141" s="116"/>
    </row>
    <row r="142" spans="2:16" x14ac:dyDescent="0.3">
      <c r="B142" s="231" t="s">
        <v>20</v>
      </c>
      <c r="C142" s="3" t="s">
        <v>519</v>
      </c>
      <c r="H142" s="218">
        <v>0.35</v>
      </c>
      <c r="J142" s="79" t="s">
        <v>754</v>
      </c>
      <c r="P142" s="119">
        <v>4.4600000000000001E-2</v>
      </c>
    </row>
    <row r="143" spans="2:16" x14ac:dyDescent="0.3">
      <c r="B143" s="231" t="s">
        <v>20</v>
      </c>
      <c r="C143" s="3" t="s">
        <v>520</v>
      </c>
      <c r="H143" s="217">
        <v>0.67800000000000005</v>
      </c>
      <c r="J143" s="79" t="s">
        <v>755</v>
      </c>
      <c r="P143" s="119">
        <v>2.8500000000000001E-2</v>
      </c>
    </row>
    <row r="144" spans="2:16" x14ac:dyDescent="0.3">
      <c r="B144" s="236"/>
      <c r="H144" s="214"/>
      <c r="J144" s="79"/>
      <c r="P144" s="116"/>
    </row>
    <row r="145" spans="2:16" x14ac:dyDescent="0.3">
      <c r="B145" s="237" t="s">
        <v>20</v>
      </c>
      <c r="C145" s="3" t="s">
        <v>521</v>
      </c>
      <c r="H145" s="217">
        <v>0.185</v>
      </c>
      <c r="J145" s="79" t="s">
        <v>583</v>
      </c>
      <c r="P145" s="119">
        <v>0.06</v>
      </c>
    </row>
    <row r="146" spans="2:16" x14ac:dyDescent="0.3">
      <c r="B146" s="231"/>
      <c r="H146" s="214"/>
      <c r="J146" s="79" t="s">
        <v>757</v>
      </c>
      <c r="P146" s="119">
        <v>0.1037</v>
      </c>
    </row>
    <row r="147" spans="2:16" ht="28" x14ac:dyDescent="0.3">
      <c r="B147" s="231" t="s">
        <v>20</v>
      </c>
      <c r="C147" s="208" t="s">
        <v>556</v>
      </c>
      <c r="H147" s="214"/>
      <c r="J147" s="213"/>
      <c r="P147" s="214"/>
    </row>
    <row r="148" spans="2:16" x14ac:dyDescent="0.3">
      <c r="B148" s="231"/>
      <c r="H148" s="214"/>
      <c r="J148" s="213"/>
      <c r="P148" s="214"/>
    </row>
    <row r="149" spans="2:16" x14ac:dyDescent="0.3">
      <c r="B149" s="237" t="s">
        <v>20</v>
      </c>
      <c r="C149" s="3" t="s">
        <v>351</v>
      </c>
      <c r="H149" s="214">
        <v>130400</v>
      </c>
      <c r="J149" s="213"/>
      <c r="P149" s="214"/>
    </row>
    <row r="150" spans="2:16" x14ac:dyDescent="0.3">
      <c r="B150" s="237" t="s">
        <v>20</v>
      </c>
      <c r="C150" s="3" t="s">
        <v>679</v>
      </c>
      <c r="H150" s="214">
        <v>44170</v>
      </c>
      <c r="J150" s="213"/>
      <c r="P150" s="214"/>
    </row>
    <row r="151" spans="2:16" x14ac:dyDescent="0.3">
      <c r="B151" s="238"/>
      <c r="C151" s="226"/>
      <c r="D151" s="211"/>
      <c r="E151" s="211"/>
      <c r="F151" s="211"/>
      <c r="G151" s="211"/>
      <c r="H151" s="219"/>
      <c r="J151" s="215"/>
      <c r="K151" s="211"/>
      <c r="L151" s="211"/>
      <c r="M151" s="211"/>
      <c r="N151" s="211"/>
      <c r="O151" s="216"/>
      <c r="P151" s="212"/>
    </row>
  </sheetData>
  <pageMargins left="0.7" right="0.7" top="0.75" bottom="0.75" header="0.3" footer="0.3"/>
  <ignoredErrors>
    <ignoredError sqref="P37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3AD1B77-36F8-416B-AB2B-03EB6B510ED9}">
          <x14:formula1>
            <xm:f>Scenarios!$C$7:$E$7</xm:f>
          </x14:formula1>
          <xm:sqref>H8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80D32-46DF-4E12-8C85-29C4BFC2D032}">
  <sheetPr codeName="Sheet4"/>
  <dimension ref="B1:I57"/>
  <sheetViews>
    <sheetView showGridLines="0" topLeftCell="A57" zoomScaleNormal="100" workbookViewId="0">
      <selection activeCell="D47" sqref="D47:D57"/>
    </sheetView>
  </sheetViews>
  <sheetFormatPr defaultColWidth="8.90625" defaultRowHeight="14" x14ac:dyDescent="0.3"/>
  <cols>
    <col min="1" max="1" width="2.36328125" style="18" customWidth="1"/>
    <col min="2" max="2" width="68" style="3" customWidth="1"/>
    <col min="3" max="3" width="22.6328125" style="18" bestFit="1" customWidth="1"/>
    <col min="4" max="4" width="23" style="18" bestFit="1" customWidth="1"/>
    <col min="5" max="5" width="21.90625" style="18" bestFit="1" customWidth="1"/>
    <col min="6" max="16384" width="8.90625" style="18"/>
  </cols>
  <sheetData>
    <row r="1" spans="2:8" ht="7.25" customHeight="1" x14ac:dyDescent="0.3">
      <c r="B1" s="18"/>
    </row>
    <row r="2" spans="2:8" ht="30" x14ac:dyDescent="0.6">
      <c r="B2" s="21" t="str">
        <f>Cover!B8</f>
        <v>ONE 97 COMMUNICATIONS LIMITED</v>
      </c>
      <c r="C2" s="22"/>
      <c r="D2" s="22"/>
      <c r="E2" s="22"/>
    </row>
    <row r="3" spans="2:8" ht="19" x14ac:dyDescent="0.4">
      <c r="B3" s="44" t="s">
        <v>605</v>
      </c>
      <c r="C3" s="22"/>
      <c r="D3" s="22"/>
      <c r="E3" s="22"/>
    </row>
    <row r="4" spans="2:8" x14ac:dyDescent="0.3">
      <c r="B4" s="18"/>
    </row>
    <row r="5" spans="2:8" x14ac:dyDescent="0.3">
      <c r="B5" s="70" t="str">
        <f>"Now running : "&amp;Assumptions!$H$8</f>
        <v>Now running : Base Case Scenario</v>
      </c>
      <c r="D5" s="34"/>
    </row>
    <row r="7" spans="2:8" x14ac:dyDescent="0.3">
      <c r="B7" s="90"/>
      <c r="C7" s="92" t="s">
        <v>596</v>
      </c>
      <c r="D7" s="92" t="s">
        <v>595</v>
      </c>
      <c r="E7" s="92" t="s">
        <v>597</v>
      </c>
    </row>
    <row r="8" spans="2:8" x14ac:dyDescent="0.3">
      <c r="B8" s="185" t="s">
        <v>607</v>
      </c>
      <c r="C8" s="34"/>
      <c r="D8" s="34"/>
      <c r="E8" s="34"/>
    </row>
    <row r="9" spans="2:8" x14ac:dyDescent="0.3">
      <c r="B9" s="70" t="s">
        <v>24</v>
      </c>
    </row>
    <row r="10" spans="2:8" x14ac:dyDescent="0.3">
      <c r="B10" s="70" t="s">
        <v>598</v>
      </c>
    </row>
    <row r="11" spans="2:8" x14ac:dyDescent="0.3">
      <c r="B11" s="3" t="s">
        <v>34</v>
      </c>
      <c r="C11" s="31">
        <v>0.09</v>
      </c>
      <c r="D11" s="31">
        <v>9.5000000000000001E-2</v>
      </c>
      <c r="E11" s="31">
        <v>0.1</v>
      </c>
      <c r="G11" s="31"/>
      <c r="H11" s="31"/>
    </row>
    <row r="12" spans="2:8" x14ac:dyDescent="0.3">
      <c r="B12" s="3" t="s">
        <v>30</v>
      </c>
      <c r="C12" s="31">
        <v>0.8</v>
      </c>
      <c r="D12" s="31">
        <v>0.85</v>
      </c>
      <c r="E12" s="31">
        <v>0.95</v>
      </c>
      <c r="G12" s="31"/>
      <c r="H12" s="31"/>
    </row>
    <row r="13" spans="2:8" x14ac:dyDescent="0.3">
      <c r="B13" s="3" t="s">
        <v>43</v>
      </c>
      <c r="C13" s="31">
        <v>2.5000000000000001E-2</v>
      </c>
      <c r="D13" s="31">
        <v>3.5000000000000003E-2</v>
      </c>
      <c r="E13" s="31">
        <v>4.4999999999999998E-2</v>
      </c>
      <c r="G13" s="31"/>
      <c r="H13" s="31"/>
    </row>
    <row r="14" spans="2:8" x14ac:dyDescent="0.3">
      <c r="B14" s="3" t="s">
        <v>40</v>
      </c>
      <c r="C14" s="31">
        <v>0.8</v>
      </c>
      <c r="D14" s="31">
        <v>0.85</v>
      </c>
      <c r="E14" s="31">
        <v>0.9</v>
      </c>
      <c r="G14" s="31"/>
      <c r="H14" s="31"/>
    </row>
    <row r="15" spans="2:8" x14ac:dyDescent="0.3">
      <c r="B15" s="3" t="s">
        <v>663</v>
      </c>
      <c r="C15" s="31">
        <f>C12-5%</f>
        <v>0.75</v>
      </c>
      <c r="D15" s="31">
        <v>0.8</v>
      </c>
      <c r="E15" s="31">
        <f>E12-5%</f>
        <v>0.89999999999999991</v>
      </c>
      <c r="G15" s="31"/>
      <c r="H15" s="31"/>
    </row>
    <row r="16" spans="2:8" x14ac:dyDescent="0.3">
      <c r="C16" s="31"/>
      <c r="D16" s="31"/>
      <c r="E16" s="31"/>
      <c r="G16" s="31"/>
      <c r="H16" s="31"/>
    </row>
    <row r="17" spans="2:8" x14ac:dyDescent="0.3">
      <c r="B17" s="70" t="s">
        <v>600</v>
      </c>
      <c r="C17" s="31"/>
      <c r="D17" s="31"/>
      <c r="E17" s="31"/>
      <c r="G17" s="31"/>
      <c r="H17" s="31"/>
    </row>
    <row r="18" spans="2:8" x14ac:dyDescent="0.3">
      <c r="B18" s="3" t="s">
        <v>39</v>
      </c>
      <c r="C18" s="31">
        <v>0.15</v>
      </c>
      <c r="D18" s="31">
        <v>0.17</v>
      </c>
      <c r="E18" s="31">
        <v>0.22</v>
      </c>
      <c r="G18" s="31"/>
      <c r="H18" s="31"/>
    </row>
    <row r="19" spans="2:8" x14ac:dyDescent="0.3">
      <c r="B19" s="3" t="s">
        <v>37</v>
      </c>
      <c r="C19" s="31">
        <v>1.42E-3</v>
      </c>
      <c r="D19" s="31">
        <v>1.5E-3</v>
      </c>
      <c r="E19" s="31">
        <v>1.6000000000000001E-3</v>
      </c>
      <c r="G19" s="31"/>
      <c r="H19" s="31"/>
    </row>
    <row r="20" spans="2:8" x14ac:dyDescent="0.3">
      <c r="B20" s="3" t="s">
        <v>599</v>
      </c>
      <c r="C20" s="31">
        <v>0.3</v>
      </c>
      <c r="D20" s="31">
        <v>0.4</v>
      </c>
      <c r="E20" s="31">
        <v>0.5</v>
      </c>
      <c r="G20" s="31"/>
      <c r="H20" s="31"/>
    </row>
    <row r="21" spans="2:8" x14ac:dyDescent="0.3">
      <c r="B21" s="3" t="s">
        <v>45</v>
      </c>
      <c r="C21" s="31">
        <v>0.08</v>
      </c>
      <c r="D21" s="31">
        <v>0.1</v>
      </c>
      <c r="E21" s="31">
        <v>0.15</v>
      </c>
      <c r="G21" s="31"/>
      <c r="H21" s="31"/>
    </row>
    <row r="22" spans="2:8" x14ac:dyDescent="0.3">
      <c r="B22" s="3" t="s">
        <v>48</v>
      </c>
      <c r="C22" s="3">
        <v>2035</v>
      </c>
      <c r="D22" s="3">
        <v>2032</v>
      </c>
      <c r="E22" s="3">
        <v>2030</v>
      </c>
      <c r="G22" s="3"/>
      <c r="H22" s="3"/>
    </row>
    <row r="23" spans="2:8" x14ac:dyDescent="0.3">
      <c r="B23" s="3" t="s">
        <v>860</v>
      </c>
      <c r="C23" s="31">
        <v>4.0000000000000002E-4</v>
      </c>
      <c r="D23" s="31">
        <v>5.0000000000000001E-4</v>
      </c>
      <c r="E23" s="31">
        <v>5.9999999999999995E-4</v>
      </c>
      <c r="G23" s="31"/>
      <c r="H23" s="31"/>
    </row>
    <row r="24" spans="2:8" x14ac:dyDescent="0.3">
      <c r="B24" s="3" t="s">
        <v>662</v>
      </c>
      <c r="C24" s="31">
        <v>0.16</v>
      </c>
      <c r="D24" s="31">
        <f>D18+1%</f>
        <v>0.18000000000000002</v>
      </c>
      <c r="E24" s="31">
        <f>E18+3%</f>
        <v>0.25</v>
      </c>
      <c r="G24" s="31"/>
      <c r="H24" s="31"/>
    </row>
    <row r="26" spans="2:8" x14ac:dyDescent="0.3">
      <c r="B26" s="70" t="s">
        <v>601</v>
      </c>
    </row>
    <row r="27" spans="2:8" x14ac:dyDescent="0.3">
      <c r="B27" s="70" t="s">
        <v>598</v>
      </c>
    </row>
    <row r="28" spans="2:8" x14ac:dyDescent="0.3">
      <c r="B28" s="3" t="s">
        <v>602</v>
      </c>
      <c r="C28" s="31">
        <v>0.12</v>
      </c>
      <c r="D28" s="31">
        <v>0.155</v>
      </c>
      <c r="E28" s="31">
        <v>0.17499999999999999</v>
      </c>
      <c r="G28" s="31"/>
      <c r="H28" s="31"/>
    </row>
    <row r="29" spans="2:8" x14ac:dyDescent="0.3">
      <c r="B29" s="3" t="s">
        <v>603</v>
      </c>
      <c r="C29" s="31">
        <v>0.14000000000000001</v>
      </c>
      <c r="D29" s="31">
        <v>0.16</v>
      </c>
      <c r="E29" s="31">
        <v>0.17</v>
      </c>
      <c r="G29" s="31"/>
      <c r="H29" s="31"/>
    </row>
    <row r="30" spans="2:8" x14ac:dyDescent="0.3">
      <c r="C30" s="31"/>
      <c r="D30" s="31"/>
      <c r="E30" s="31"/>
      <c r="G30" s="31"/>
      <c r="H30" s="31"/>
    </row>
    <row r="31" spans="2:8" x14ac:dyDescent="0.3">
      <c r="B31" s="70" t="s">
        <v>600</v>
      </c>
      <c r="C31" s="31"/>
      <c r="D31" s="31"/>
      <c r="E31" s="31"/>
      <c r="G31" s="31"/>
      <c r="H31" s="31"/>
    </row>
    <row r="32" spans="2:8" x14ac:dyDescent="0.3">
      <c r="B32" s="70" t="s">
        <v>59</v>
      </c>
      <c r="C32" s="31"/>
      <c r="D32" s="31"/>
      <c r="E32" s="31"/>
      <c r="G32" s="31"/>
      <c r="H32" s="31"/>
    </row>
    <row r="33" spans="2:9" x14ac:dyDescent="0.3">
      <c r="B33" s="3" t="s">
        <v>666</v>
      </c>
      <c r="C33" s="31">
        <v>0.08</v>
      </c>
      <c r="D33" s="31">
        <v>0.1</v>
      </c>
      <c r="E33" s="31">
        <v>0.15</v>
      </c>
      <c r="G33" s="31"/>
      <c r="H33" s="31"/>
    </row>
    <row r="34" spans="2:9" x14ac:dyDescent="0.3">
      <c r="B34" s="3" t="s">
        <v>68</v>
      </c>
      <c r="C34" s="31">
        <v>5.5E-2</v>
      </c>
      <c r="D34" s="31">
        <v>5.7500000000000002E-2</v>
      </c>
      <c r="E34" s="31">
        <v>6.5000000000000002E-2</v>
      </c>
      <c r="G34" s="31"/>
      <c r="H34" s="31"/>
    </row>
    <row r="35" spans="2:9" x14ac:dyDescent="0.3">
      <c r="C35" s="31"/>
      <c r="D35" s="31"/>
      <c r="E35" s="31"/>
      <c r="G35" s="31"/>
      <c r="H35" s="31"/>
    </row>
    <row r="36" spans="2:9" x14ac:dyDescent="0.3">
      <c r="B36" s="70" t="s">
        <v>76</v>
      </c>
      <c r="C36" s="31"/>
      <c r="D36" s="31"/>
      <c r="E36" s="31"/>
      <c r="G36" s="31"/>
      <c r="H36" s="31"/>
    </row>
    <row r="37" spans="2:9" x14ac:dyDescent="0.3">
      <c r="B37" s="70" t="s">
        <v>598</v>
      </c>
      <c r="C37" s="31"/>
      <c r="D37" s="31"/>
      <c r="E37" s="31"/>
      <c r="G37" s="31"/>
      <c r="H37" s="31"/>
    </row>
    <row r="38" spans="2:9" x14ac:dyDescent="0.3">
      <c r="B38" s="3" t="s">
        <v>670</v>
      </c>
      <c r="C38" s="31">
        <v>0.75</v>
      </c>
      <c r="D38" s="31">
        <v>0.8</v>
      </c>
      <c r="E38" s="31">
        <v>0.82</v>
      </c>
      <c r="G38" s="31"/>
      <c r="H38" s="31"/>
    </row>
    <row r="39" spans="2:9" x14ac:dyDescent="0.3">
      <c r="B39" s="3" t="s">
        <v>669</v>
      </c>
      <c r="C39" s="31">
        <v>0.75</v>
      </c>
      <c r="D39" s="31">
        <v>0.9</v>
      </c>
      <c r="E39" s="31">
        <v>0.95</v>
      </c>
      <c r="G39" s="31"/>
      <c r="H39" s="31"/>
    </row>
    <row r="40" spans="2:9" x14ac:dyDescent="0.3">
      <c r="B40" s="70"/>
      <c r="C40" s="31"/>
      <c r="D40" s="31"/>
      <c r="E40" s="31"/>
      <c r="G40" s="31"/>
      <c r="H40" s="31"/>
    </row>
    <row r="41" spans="2:9" x14ac:dyDescent="0.3">
      <c r="B41" s="70" t="s">
        <v>600</v>
      </c>
      <c r="C41" s="31"/>
      <c r="D41" s="31"/>
      <c r="E41" s="31"/>
      <c r="G41" s="31"/>
      <c r="H41" s="31"/>
    </row>
    <row r="42" spans="2:9" x14ac:dyDescent="0.3">
      <c r="B42" s="3" t="s">
        <v>668</v>
      </c>
      <c r="C42" s="31">
        <v>0.12</v>
      </c>
      <c r="D42" s="31">
        <v>0.14000000000000001</v>
      </c>
      <c r="E42" s="31">
        <v>0.18</v>
      </c>
      <c r="G42" s="31"/>
      <c r="H42" s="31"/>
    </row>
    <row r="43" spans="2:9" x14ac:dyDescent="0.3">
      <c r="B43" s="3" t="s">
        <v>86</v>
      </c>
      <c r="C43" s="31">
        <v>3.7499999999999999E-2</v>
      </c>
      <c r="D43" s="31">
        <v>0.04</v>
      </c>
      <c r="E43" s="31">
        <v>0.06</v>
      </c>
      <c r="G43" s="31"/>
      <c r="H43" s="31"/>
    </row>
    <row r="45" spans="2:9" x14ac:dyDescent="0.3">
      <c r="B45" s="185" t="s">
        <v>606</v>
      </c>
    </row>
    <row r="46" spans="2:9" x14ac:dyDescent="0.3">
      <c r="B46" s="70" t="s">
        <v>89</v>
      </c>
    </row>
    <row r="47" spans="2:9" x14ac:dyDescent="0.3">
      <c r="B47" s="3" t="s">
        <v>92</v>
      </c>
      <c r="C47" s="31">
        <v>1.15E-3</v>
      </c>
      <c r="D47" s="31">
        <v>1.08E-3</v>
      </c>
      <c r="E47" s="31">
        <v>1.0499999999999999E-3</v>
      </c>
      <c r="G47" s="31"/>
      <c r="H47" s="31"/>
      <c r="I47" s="31"/>
    </row>
    <row r="48" spans="2:9" x14ac:dyDescent="0.3">
      <c r="B48" s="3" t="s">
        <v>95</v>
      </c>
    </row>
    <row r="49" spans="2:9" x14ac:dyDescent="0.3">
      <c r="B49" s="3" t="s">
        <v>97</v>
      </c>
      <c r="C49" s="63">
        <v>29</v>
      </c>
      <c r="D49" s="63">
        <v>28</v>
      </c>
      <c r="E49" s="63">
        <v>27</v>
      </c>
      <c r="G49" s="63"/>
      <c r="H49" s="63"/>
      <c r="I49" s="63"/>
    </row>
    <row r="50" spans="2:9" x14ac:dyDescent="0.3">
      <c r="B50" s="3" t="s">
        <v>676</v>
      </c>
      <c r="C50" s="63">
        <v>30</v>
      </c>
      <c r="D50" s="63">
        <v>29</v>
      </c>
      <c r="E50" s="63">
        <v>28</v>
      </c>
      <c r="G50" s="63"/>
      <c r="H50" s="63"/>
    </row>
    <row r="51" spans="2:9" x14ac:dyDescent="0.3">
      <c r="B51" s="3" t="s">
        <v>99</v>
      </c>
      <c r="C51" s="31">
        <v>0.16500000000000001</v>
      </c>
      <c r="D51" s="31">
        <v>0.16500000000000001</v>
      </c>
      <c r="E51" s="31">
        <v>0.16500000000000001</v>
      </c>
      <c r="G51" s="31"/>
      <c r="H51" s="31"/>
    </row>
    <row r="53" spans="2:9" x14ac:dyDescent="0.3">
      <c r="B53" s="70" t="s">
        <v>102</v>
      </c>
    </row>
    <row r="54" spans="2:9" x14ac:dyDescent="0.3">
      <c r="B54" s="3" t="s">
        <v>104</v>
      </c>
      <c r="C54" s="31">
        <v>0.02</v>
      </c>
      <c r="D54" s="31">
        <v>0.02</v>
      </c>
      <c r="E54" s="31">
        <v>2.5000000000000001E-2</v>
      </c>
      <c r="G54" s="31"/>
      <c r="H54" s="31"/>
    </row>
    <row r="55" spans="2:9" x14ac:dyDescent="0.3">
      <c r="B55" s="3" t="s">
        <v>105</v>
      </c>
      <c r="C55" s="31">
        <v>0.24</v>
      </c>
      <c r="D55" s="31">
        <v>0.24</v>
      </c>
      <c r="E55" s="31">
        <v>0.25</v>
      </c>
      <c r="G55" s="31"/>
      <c r="H55" s="31"/>
    </row>
    <row r="56" spans="2:9" x14ac:dyDescent="0.3">
      <c r="B56" s="3" t="s">
        <v>106</v>
      </c>
      <c r="C56" s="31">
        <v>7.4999999999999997E-2</v>
      </c>
      <c r="D56" s="31">
        <v>7.4999999999999997E-2</v>
      </c>
      <c r="E56" s="31">
        <v>7.4999999999999997E-2</v>
      </c>
      <c r="G56" s="31"/>
      <c r="H56" s="31"/>
    </row>
    <row r="57" spans="2:9" x14ac:dyDescent="0.3">
      <c r="B57" s="3" t="s">
        <v>107</v>
      </c>
      <c r="C57" s="31">
        <v>0.05</v>
      </c>
      <c r="D57" s="31">
        <v>0.05</v>
      </c>
      <c r="E57" s="31">
        <v>5.5E-2</v>
      </c>
      <c r="G57" s="31"/>
      <c r="H57" s="3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9DB79-5D1C-45F0-A420-173F0DF448F1}">
  <sheetPr codeName="Sheet6"/>
  <dimension ref="B1:AE345"/>
  <sheetViews>
    <sheetView showGridLines="0" tabSelected="1" topLeftCell="A87" zoomScaleNormal="100" workbookViewId="0">
      <selection activeCell="K30" sqref="K30"/>
    </sheetView>
  </sheetViews>
  <sheetFormatPr defaultColWidth="8.90625" defaultRowHeight="14" outlineLevelRow="2" x14ac:dyDescent="0.3"/>
  <cols>
    <col min="1" max="1" width="2.36328125" style="18" customWidth="1"/>
    <col min="2" max="2" width="1.6328125" style="18" customWidth="1"/>
    <col min="3" max="3" width="41.08984375" style="18" customWidth="1"/>
    <col min="4" max="4" width="8.90625" style="55" bestFit="1" customWidth="1"/>
    <col min="5" max="5" width="8.90625" style="55" customWidth="1"/>
    <col min="6" max="6" width="3.6328125" style="18" customWidth="1"/>
    <col min="7" max="9" width="13.90625" style="18" customWidth="1"/>
    <col min="10" max="17" width="14.36328125" style="18" bestFit="1" customWidth="1"/>
    <col min="18" max="20" width="13.90625" style="18" customWidth="1"/>
    <col min="21" max="21" width="7.81640625" style="18" hidden="1" customWidth="1"/>
    <col min="22" max="22" width="13.90625" style="18" bestFit="1" customWidth="1"/>
    <col min="23" max="23" width="16.81640625" style="18" bestFit="1" customWidth="1"/>
    <col min="24" max="16384" width="8.90625" style="18"/>
  </cols>
  <sheetData>
    <row r="1" spans="2:24" ht="7.25" customHeight="1" x14ac:dyDescent="0.3"/>
    <row r="2" spans="2:24" ht="30" x14ac:dyDescent="0.6">
      <c r="B2" s="21" t="str">
        <f>Cover!$B$8</f>
        <v>ONE 97 COMMUNICATIONS LIMITED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2:24" ht="19" x14ac:dyDescent="0.4">
      <c r="B3" s="44" t="s">
        <v>128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22"/>
      <c r="S3" s="22"/>
    </row>
    <row r="4" spans="2:24" x14ac:dyDescent="0.3">
      <c r="C4" s="70" t="str">
        <f>"Now running : "&amp;Assumptions!$H$8</f>
        <v>Now running : Base Case Scenario</v>
      </c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</row>
    <row r="5" spans="2:24" ht="15" thickBot="1" x14ac:dyDescent="0.4">
      <c r="B5" s="46" t="s">
        <v>129</v>
      </c>
      <c r="C5" s="47"/>
      <c r="D5" s="57"/>
      <c r="E5" s="5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3"/>
    </row>
    <row r="6" spans="2:24" x14ac:dyDescent="0.3">
      <c r="B6" s="3" t="s">
        <v>130</v>
      </c>
      <c r="C6" s="3"/>
      <c r="D6" s="56"/>
      <c r="E6" s="56"/>
      <c r="F6" s="3"/>
      <c r="G6" s="48">
        <v>1</v>
      </c>
      <c r="H6" s="48">
        <v>2</v>
      </c>
      <c r="I6" s="48">
        <v>3</v>
      </c>
      <c r="J6" s="48">
        <v>4</v>
      </c>
      <c r="K6" s="48">
        <v>5</v>
      </c>
      <c r="L6" s="48">
        <v>6</v>
      </c>
      <c r="M6" s="48">
        <v>7</v>
      </c>
      <c r="N6" s="48">
        <v>8</v>
      </c>
      <c r="O6" s="48">
        <v>9</v>
      </c>
      <c r="P6" s="48">
        <v>10</v>
      </c>
      <c r="Q6" s="48">
        <v>11</v>
      </c>
      <c r="R6" s="48">
        <v>12</v>
      </c>
      <c r="S6" s="48">
        <v>13</v>
      </c>
      <c r="T6" s="3"/>
      <c r="U6" s="3"/>
      <c r="V6" s="3"/>
    </row>
    <row r="7" spans="2:24" x14ac:dyDescent="0.3">
      <c r="B7" s="3"/>
      <c r="C7" s="3"/>
      <c r="D7" s="56"/>
      <c r="E7" s="56"/>
      <c r="F7" s="3"/>
      <c r="G7" s="49">
        <v>45016</v>
      </c>
      <c r="H7" s="49">
        <f>EOMONTH(G7,12)</f>
        <v>45382</v>
      </c>
      <c r="I7" s="49">
        <f t="shared" ref="I7:Q7" si="0">EOMONTH(H7,12)</f>
        <v>45747</v>
      </c>
      <c r="J7" s="49">
        <f t="shared" si="0"/>
        <v>46112</v>
      </c>
      <c r="K7" s="49">
        <f t="shared" si="0"/>
        <v>46477</v>
      </c>
      <c r="L7" s="49">
        <f t="shared" si="0"/>
        <v>46843</v>
      </c>
      <c r="M7" s="49">
        <f t="shared" si="0"/>
        <v>47208</v>
      </c>
      <c r="N7" s="49">
        <f t="shared" si="0"/>
        <v>47573</v>
      </c>
      <c r="O7" s="49">
        <f t="shared" si="0"/>
        <v>47938</v>
      </c>
      <c r="P7" s="49">
        <f t="shared" si="0"/>
        <v>48304</v>
      </c>
      <c r="Q7" s="49">
        <f t="shared" si="0"/>
        <v>48669</v>
      </c>
      <c r="R7" s="49">
        <f>EOMONTH(Q7,12)</f>
        <v>49034</v>
      </c>
      <c r="S7" s="49">
        <f>EOMONTH(R7,12)</f>
        <v>49399</v>
      </c>
      <c r="T7" s="49"/>
      <c r="U7" s="49"/>
      <c r="V7" s="49"/>
    </row>
    <row r="8" spans="2:24" ht="14.5" x14ac:dyDescent="0.35">
      <c r="B8" s="3"/>
      <c r="C8" s="3"/>
      <c r="D8" s="56"/>
      <c r="E8" s="56"/>
      <c r="F8" s="3"/>
      <c r="G8" s="49"/>
      <c r="H8" s="49"/>
      <c r="I8" s="49"/>
      <c r="J8" s="193" t="s">
        <v>131</v>
      </c>
      <c r="K8" s="194"/>
      <c r="L8" s="194"/>
      <c r="M8" s="194"/>
      <c r="N8" s="194"/>
      <c r="O8" s="194"/>
      <c r="P8" s="194"/>
      <c r="Q8" s="194"/>
      <c r="R8" s="22"/>
      <c r="S8" s="22"/>
    </row>
    <row r="9" spans="2:24" ht="14.5" thickBot="1" x14ac:dyDescent="0.35">
      <c r="B9" s="47"/>
      <c r="C9" s="47"/>
      <c r="D9" s="57"/>
      <c r="E9" s="57"/>
      <c r="F9" s="47"/>
      <c r="G9" s="74">
        <f>YEAR(G7)</f>
        <v>2023</v>
      </c>
      <c r="H9" s="74">
        <f>YEAR(H7)</f>
        <v>2024</v>
      </c>
      <c r="I9" s="74">
        <f>YEAR(I7)</f>
        <v>2025</v>
      </c>
      <c r="J9" s="74">
        <f>YEAR(J7)</f>
        <v>2026</v>
      </c>
      <c r="K9" s="195">
        <f t="shared" ref="K9:S9" si="1">YEAR(K7)</f>
        <v>2027</v>
      </c>
      <c r="L9" s="195">
        <f t="shared" si="1"/>
        <v>2028</v>
      </c>
      <c r="M9" s="195">
        <f t="shared" si="1"/>
        <v>2029</v>
      </c>
      <c r="N9" s="195">
        <f t="shared" si="1"/>
        <v>2030</v>
      </c>
      <c r="O9" s="195">
        <f t="shared" si="1"/>
        <v>2031</v>
      </c>
      <c r="P9" s="195">
        <f t="shared" si="1"/>
        <v>2032</v>
      </c>
      <c r="Q9" s="195">
        <f t="shared" si="1"/>
        <v>2033</v>
      </c>
      <c r="R9" s="195">
        <f t="shared" si="1"/>
        <v>2034</v>
      </c>
      <c r="S9" s="195">
        <f t="shared" si="1"/>
        <v>2035</v>
      </c>
      <c r="T9" s="192"/>
      <c r="U9" s="192"/>
      <c r="V9" s="192"/>
    </row>
    <row r="11" spans="2:24" x14ac:dyDescent="0.3">
      <c r="B11" s="34" t="s">
        <v>22</v>
      </c>
      <c r="J11" s="35"/>
      <c r="K11" s="35"/>
      <c r="L11" s="35"/>
      <c r="M11" s="35"/>
      <c r="N11" s="35"/>
      <c r="O11" s="35"/>
      <c r="P11" s="35"/>
      <c r="Q11" s="35"/>
    </row>
    <row r="12" spans="2:24" x14ac:dyDescent="0.3">
      <c r="C12" s="34" t="s">
        <v>132</v>
      </c>
      <c r="J12" s="197"/>
      <c r="K12" s="35"/>
      <c r="L12" s="35"/>
      <c r="M12" s="35"/>
      <c r="N12" s="35"/>
      <c r="O12" s="35"/>
      <c r="P12" s="35"/>
      <c r="Q12" s="35"/>
    </row>
    <row r="13" spans="2:24" x14ac:dyDescent="0.3">
      <c r="C13" s="18" t="s">
        <v>133</v>
      </c>
      <c r="G13" s="196"/>
      <c r="J13" s="31">
        <f>Assumptions!H28</f>
        <v>0.20344899999999999</v>
      </c>
      <c r="K13" s="31">
        <f t="shared" ref="K13:R13" si="2">J13+($S$13-$J$13)/COUNT($K$6:$S$6)</f>
        <v>0.19973244444444443</v>
      </c>
      <c r="L13" s="31">
        <f t="shared" si="2"/>
        <v>0.19601588888888888</v>
      </c>
      <c r="M13" s="31">
        <f t="shared" si="2"/>
        <v>0.19229933333333332</v>
      </c>
      <c r="N13" s="31">
        <f t="shared" si="2"/>
        <v>0.18858277777777777</v>
      </c>
      <c r="O13" s="31">
        <f t="shared" si="2"/>
        <v>0.18486622222222221</v>
      </c>
      <c r="P13" s="31">
        <f t="shared" si="2"/>
        <v>0.18114966666666665</v>
      </c>
      <c r="Q13" s="31">
        <f t="shared" si="2"/>
        <v>0.1774331111111111</v>
      </c>
      <c r="R13" s="31">
        <f t="shared" si="2"/>
        <v>0.17371655555555554</v>
      </c>
      <c r="S13" s="31">
        <f>Assumptions!H32</f>
        <v>0.17</v>
      </c>
      <c r="X13" s="35"/>
    </row>
    <row r="14" spans="2:24" x14ac:dyDescent="0.3">
      <c r="C14" s="18" t="s">
        <v>134</v>
      </c>
      <c r="J14" s="18">
        <f>Assumptions!P16*1000000</f>
        <v>117200000</v>
      </c>
      <c r="K14" s="18">
        <f>(Assumptions!$P$14*1000000*(1+Assumptions!$P$19)^(K6-$J$6))*K15</f>
        <v>144037317.3052159</v>
      </c>
      <c r="L14" s="18">
        <f>(Assumptions!$P$14*1000000*(1+Assumptions!$P$19)^(L6-$J$6))*L15</f>
        <v>175334135.60493082</v>
      </c>
      <c r="M14" s="18">
        <f>(Assumptions!$P$14*1000000*(1+Assumptions!$P$19)^(M6-$J$6))*M15</f>
        <v>205222318.58088064</v>
      </c>
      <c r="N14" s="18">
        <f>(Assumptions!$P$14*1000000*(1+Assumptions!$P$19)^(N6-$J$6))*N15</f>
        <v>237803311.37128994</v>
      </c>
      <c r="O14" s="18">
        <f>(Assumptions!$P$14*1000000*(1+Assumptions!$P$19)^(O6-$J$6))*O15</f>
        <v>271381742.57120192</v>
      </c>
      <c r="P14" s="18">
        <f>(Assumptions!$P$14*1000000*(1+Assumptions!$P$19)^(P6-$J$6))*P15</f>
        <v>304936894.51444662</v>
      </c>
      <c r="Q14" s="18">
        <f>(Assumptions!$P$14*1000000*(1+Assumptions!$P$19)^(Q6-$J$6))*Q15</f>
        <v>342640992.55578345</v>
      </c>
      <c r="R14" s="18">
        <f>(Assumptions!$P$14*1000000*(1+Assumptions!$P$19)^(R6-$J$6))*R15</f>
        <v>380996545.57293123</v>
      </c>
      <c r="S14" s="18">
        <f>(Assumptions!$P$14*1000000*(1+Assumptions!$P$19)^(S6-$J$6))*S15</f>
        <v>423645655.05066991</v>
      </c>
    </row>
    <row r="15" spans="2:24" x14ac:dyDescent="0.3">
      <c r="C15" s="18" t="s">
        <v>30</v>
      </c>
      <c r="G15" s="31"/>
      <c r="H15" s="31"/>
      <c r="J15" s="31">
        <f>Assumptions!P15</f>
        <v>0.53219507764962315</v>
      </c>
      <c r="K15" s="31">
        <f>J15*(1+$U15)*K17/$U17</f>
        <v>0.59731599784696787</v>
      </c>
      <c r="L15" s="31">
        <f t="shared" ref="L15:Q15" si="3">K15*(1+$U15)*L17/$U17</f>
        <v>0.66402048872399166</v>
      </c>
      <c r="M15" s="31">
        <f>L15*(1+$U15)*M17/$U17</f>
        <v>0.70978280507264246</v>
      </c>
      <c r="N15" s="31">
        <f t="shared" si="3"/>
        <v>0.75111193486129613</v>
      </c>
      <c r="O15" s="31">
        <f t="shared" si="3"/>
        <v>0.78280442618121748</v>
      </c>
      <c r="P15" s="31">
        <f t="shared" si="3"/>
        <v>0.80328285894559215</v>
      </c>
      <c r="Q15" s="31">
        <f t="shared" si="3"/>
        <v>0.82429701454757376</v>
      </c>
      <c r="R15" s="31">
        <f>Q15*(1+$U15)*R17/$U17</f>
        <v>0.83704985655899733</v>
      </c>
      <c r="S15" s="31">
        <f>Assumptions!P21</f>
        <v>0.85</v>
      </c>
      <c r="T15" s="182"/>
      <c r="U15" s="27">
        <f>(S15/J15)^(1/9)-1</f>
        <v>5.3402222376756292E-2</v>
      </c>
    </row>
    <row r="16" spans="2:24" ht="14.5" hidden="1" outlineLevel="1" x14ac:dyDescent="0.35">
      <c r="C16" s="53" t="s">
        <v>135</v>
      </c>
      <c r="J16" s="31"/>
      <c r="K16" s="27">
        <v>0.05</v>
      </c>
      <c r="L16" s="27">
        <v>0.04</v>
      </c>
      <c r="M16" s="27">
        <v>0</v>
      </c>
      <c r="N16" s="27">
        <v>-0.01</v>
      </c>
      <c r="O16" s="27">
        <v>-2.5000000000000001E-2</v>
      </c>
      <c r="P16" s="27">
        <v>-0.04</v>
      </c>
      <c r="Q16" s="27">
        <v>-0.04</v>
      </c>
      <c r="R16" s="27">
        <v>-0.05</v>
      </c>
      <c r="S16" s="27">
        <v>-0.05</v>
      </c>
      <c r="T16" s="182"/>
      <c r="U16" s="27"/>
    </row>
    <row r="17" spans="3:31" ht="14.5" hidden="1" outlineLevel="1" x14ac:dyDescent="0.35">
      <c r="C17" s="53" t="s">
        <v>136</v>
      </c>
      <c r="K17" s="27">
        <f t="shared" ref="K17:Q17" si="4">K16+1</f>
        <v>1.05</v>
      </c>
      <c r="L17" s="27">
        <f t="shared" si="4"/>
        <v>1.04</v>
      </c>
      <c r="M17" s="27">
        <f t="shared" si="4"/>
        <v>1</v>
      </c>
      <c r="N17" s="27">
        <f t="shared" si="4"/>
        <v>0.99</v>
      </c>
      <c r="O17" s="27">
        <f t="shared" si="4"/>
        <v>0.97499999999999998</v>
      </c>
      <c r="P17" s="27">
        <f t="shared" si="4"/>
        <v>0.96</v>
      </c>
      <c r="Q17" s="27">
        <f t="shared" si="4"/>
        <v>0.96</v>
      </c>
      <c r="R17" s="27">
        <f>R16+1</f>
        <v>0.95</v>
      </c>
      <c r="S17" s="27">
        <f>S16+1</f>
        <v>0.95</v>
      </c>
      <c r="T17" s="182"/>
      <c r="U17" s="35">
        <f>GEOMEAN(K17:S17)</f>
        <v>0.98548549433226207</v>
      </c>
    </row>
    <row r="18" spans="3:31" collapsed="1" x14ac:dyDescent="0.3">
      <c r="C18" s="18" t="s">
        <v>137</v>
      </c>
      <c r="J18" s="31">
        <f>Assumptions!H29</f>
        <v>1.482E-3</v>
      </c>
      <c r="K18" s="31">
        <f>J18+($S18-$J18)/COUNT($K$6:$S$6)</f>
        <v>1.4840000000000001E-3</v>
      </c>
      <c r="L18" s="31">
        <f t="shared" ref="L18:R18" si="5">K18+($S18-$J18)/COUNT($K$6:$S$6)</f>
        <v>1.4860000000000001E-3</v>
      </c>
      <c r="M18" s="31">
        <f t="shared" si="5"/>
        <v>1.4880000000000002E-3</v>
      </c>
      <c r="N18" s="31">
        <f t="shared" si="5"/>
        <v>1.4900000000000002E-3</v>
      </c>
      <c r="O18" s="31">
        <f t="shared" si="5"/>
        <v>1.4920000000000003E-3</v>
      </c>
      <c r="P18" s="31">
        <f t="shared" si="5"/>
        <v>1.4940000000000003E-3</v>
      </c>
      <c r="Q18" s="31">
        <f t="shared" si="5"/>
        <v>1.4960000000000004E-3</v>
      </c>
      <c r="R18" s="31">
        <f t="shared" si="5"/>
        <v>1.4980000000000004E-3</v>
      </c>
      <c r="S18" s="31">
        <f>Assumptions!H33</f>
        <v>1.5E-3</v>
      </c>
      <c r="T18" s="182"/>
    </row>
    <row r="19" spans="3:31" s="34" customFormat="1" x14ac:dyDescent="0.3">
      <c r="C19" s="34" t="s">
        <v>138</v>
      </c>
      <c r="D19" s="58"/>
      <c r="E19" s="58"/>
      <c r="J19" s="65">
        <f t="shared" ref="J19:Q19" si="6">J18*J13*J14</f>
        <v>35337.138189599995</v>
      </c>
      <c r="K19" s="65">
        <f t="shared" si="6"/>
        <v>42693.08540726082</v>
      </c>
      <c r="L19" s="65">
        <f t="shared" si="6"/>
        <v>51071.258794543923</v>
      </c>
      <c r="M19" s="65">
        <f t="shared" si="6"/>
        <v>58722.603191757749</v>
      </c>
      <c r="N19" s="65">
        <f t="shared" si="6"/>
        <v>66819.957444495987</v>
      </c>
      <c r="O19" s="65">
        <f t="shared" si="6"/>
        <v>74852.621753598811</v>
      </c>
      <c r="P19" s="65">
        <f t="shared" si="6"/>
        <v>82527.389892716805</v>
      </c>
      <c r="Q19" s="65">
        <f t="shared" si="6"/>
        <v>90950.602525844108</v>
      </c>
      <c r="R19" s="65">
        <f>R18*R13*R14</f>
        <v>99145.740548091315</v>
      </c>
      <c r="S19" s="65">
        <f>S18*S13*S14</f>
        <v>108029.64203792083</v>
      </c>
      <c r="U19" s="54"/>
      <c r="V19" s="186"/>
      <c r="W19" s="186"/>
      <c r="X19" s="186"/>
      <c r="Y19" s="186"/>
      <c r="Z19" s="186"/>
      <c r="AA19" s="186"/>
      <c r="AB19" s="186"/>
      <c r="AC19" s="186"/>
      <c r="AD19" s="186"/>
      <c r="AE19" s="186"/>
    </row>
    <row r="20" spans="3:31" x14ac:dyDescent="0.3">
      <c r="K20" s="31"/>
      <c r="L20" s="31"/>
      <c r="M20" s="31"/>
      <c r="N20" s="31"/>
      <c r="O20" s="31"/>
      <c r="P20" s="31"/>
      <c r="Q20" s="31"/>
    </row>
    <row r="21" spans="3:31" x14ac:dyDescent="0.3">
      <c r="C21" s="34" t="s">
        <v>139</v>
      </c>
      <c r="K21" s="31"/>
      <c r="L21" s="31"/>
      <c r="M21" s="31"/>
      <c r="N21" s="31"/>
      <c r="O21" s="31"/>
      <c r="P21" s="31"/>
      <c r="Q21" s="31"/>
    </row>
    <row r="22" spans="3:31" x14ac:dyDescent="0.3">
      <c r="C22" s="18" t="s">
        <v>38</v>
      </c>
      <c r="J22" s="18">
        <f>Assumptions!P26</f>
        <v>87</v>
      </c>
      <c r="K22" s="18">
        <f>J22*(1+Assumptions!$P$31)</f>
        <v>90.044999999999987</v>
      </c>
      <c r="L22" s="18">
        <f>K22*(1+Assumptions!$P$31)</f>
        <v>93.196574999999982</v>
      </c>
      <c r="M22" s="18">
        <f>L22*(1+Assumptions!$P$31)</f>
        <v>96.458455124999972</v>
      </c>
      <c r="N22" s="18">
        <f>M22*(1+Assumptions!$P$31)</f>
        <v>99.834501054374968</v>
      </c>
      <c r="O22" s="18">
        <f>N22*(1+Assumptions!$P$31)</f>
        <v>103.32870859127809</v>
      </c>
      <c r="P22" s="18">
        <f>O22*(1+Assumptions!$P$31)</f>
        <v>106.94521339197281</v>
      </c>
      <c r="Q22" s="18">
        <f>P22*(1+Assumptions!$P$31)</f>
        <v>110.68829586069185</v>
      </c>
      <c r="R22" s="18">
        <f>Q22*(1+Assumptions!$P$31)</f>
        <v>114.56238621581606</v>
      </c>
      <c r="S22" s="18">
        <f>Assumptions!P32</f>
        <v>118.5720697333696</v>
      </c>
    </row>
    <row r="23" spans="3:31" x14ac:dyDescent="0.3">
      <c r="C23" s="18" t="s">
        <v>40</v>
      </c>
      <c r="I23" s="27"/>
      <c r="J23" s="31">
        <f>Assumptions!P27</f>
        <v>0.66</v>
      </c>
      <c r="K23" s="31">
        <f t="shared" ref="K23:P23" si="7">J23*(1+$U23)*K25/$U25</f>
        <v>0.70653920461159336</v>
      </c>
      <c r="L23" s="31">
        <f t="shared" si="7"/>
        <v>0.74138264502947959</v>
      </c>
      <c r="M23" s="31">
        <f t="shared" si="7"/>
        <v>0.77008638800679319</v>
      </c>
      <c r="N23" s="31">
        <f t="shared" si="7"/>
        <v>0.79582030972535422</v>
      </c>
      <c r="O23" s="31">
        <f t="shared" si="7"/>
        <v>0.81397916283296567</v>
      </c>
      <c r="P23" s="31">
        <f t="shared" si="7"/>
        <v>0.82392487506133438</v>
      </c>
      <c r="Q23" s="31">
        <f>P23*(1+$U23)*Q25/$U25</f>
        <v>0.83835856113129303</v>
      </c>
      <c r="R23" s="31">
        <f>Q23*(1+$U23)*R25/$U25</f>
        <v>0.84415921304076258</v>
      </c>
      <c r="S23" s="31">
        <f>Assumptions!P33</f>
        <v>0.85</v>
      </c>
      <c r="U23" s="27">
        <f>(S23/J23)^(1/9)-1</f>
        <v>2.8509558633839749E-2</v>
      </c>
    </row>
    <row r="24" spans="3:31" ht="14.5" hidden="1" outlineLevel="1" x14ac:dyDescent="0.35">
      <c r="C24" s="53" t="s">
        <v>135</v>
      </c>
      <c r="J24" s="31"/>
      <c r="K24" s="27">
        <v>0.01</v>
      </c>
      <c r="L24" s="27">
        <v>-0.01</v>
      </c>
      <c r="M24" s="27">
        <v>-0.02</v>
      </c>
      <c r="N24" s="27">
        <v>-2.5000000000000001E-2</v>
      </c>
      <c r="O24" s="27">
        <v>-3.5000000000000003E-2</v>
      </c>
      <c r="P24" s="27">
        <v>-4.4999999999999998E-2</v>
      </c>
      <c r="Q24" s="27">
        <v>-0.04</v>
      </c>
      <c r="R24" s="27">
        <v>-0.05</v>
      </c>
      <c r="S24" s="27">
        <v>-0.05</v>
      </c>
      <c r="U24" s="27"/>
    </row>
    <row r="25" spans="3:31" ht="14.5" hidden="1" outlineLevel="1" x14ac:dyDescent="0.35">
      <c r="C25" s="53" t="s">
        <v>136</v>
      </c>
      <c r="K25" s="27">
        <f t="shared" ref="K25:S25" si="8">K24+1</f>
        <v>1.01</v>
      </c>
      <c r="L25" s="27">
        <f t="shared" si="8"/>
        <v>0.99</v>
      </c>
      <c r="M25" s="27">
        <f t="shared" si="8"/>
        <v>0.98</v>
      </c>
      <c r="N25" s="27">
        <f t="shared" si="8"/>
        <v>0.97499999999999998</v>
      </c>
      <c r="O25" s="27">
        <f t="shared" si="8"/>
        <v>0.96499999999999997</v>
      </c>
      <c r="P25" s="27">
        <f t="shared" si="8"/>
        <v>0.95499999999999996</v>
      </c>
      <c r="Q25" s="27">
        <f t="shared" si="8"/>
        <v>0.96</v>
      </c>
      <c r="R25" s="27">
        <f t="shared" si="8"/>
        <v>0.95</v>
      </c>
      <c r="S25" s="27">
        <f t="shared" si="8"/>
        <v>0.95</v>
      </c>
      <c r="U25" s="35">
        <f>GEOMEAN(K25:S25)</f>
        <v>0.97037003369433095</v>
      </c>
    </row>
    <row r="26" spans="3:31" collapsed="1" x14ac:dyDescent="0.3">
      <c r="C26" s="18" t="s">
        <v>599</v>
      </c>
      <c r="J26" s="31">
        <f>Assumptions!H39</f>
        <v>0.26123000000000002</v>
      </c>
      <c r="K26" s="31">
        <f>J26*(1+$U26)*K28/$U28</f>
        <v>0.29537145767312134</v>
      </c>
      <c r="L26" s="31">
        <f t="shared" ref="L26:R26" si="9">K26*(1+$U26)*L28/$U28</f>
        <v>0.31945437989424269</v>
      </c>
      <c r="M26" s="31">
        <f t="shared" si="9"/>
        <v>0.34550088772135867</v>
      </c>
      <c r="N26" s="31">
        <f t="shared" si="9"/>
        <v>0.37197257593361366</v>
      </c>
      <c r="O26" s="31">
        <f t="shared" si="9"/>
        <v>0.38218606510835679</v>
      </c>
      <c r="P26" s="31">
        <f t="shared" si="9"/>
        <v>0.39080114095540064</v>
      </c>
      <c r="Q26" s="31">
        <f t="shared" si="9"/>
        <v>0.39576800635204068</v>
      </c>
      <c r="R26" s="31">
        <f t="shared" si="9"/>
        <v>0.3988523764998097</v>
      </c>
      <c r="S26" s="31">
        <f>R26*(1+$U26)*S28/$U28</f>
        <v>0.40000000000000052</v>
      </c>
      <c r="U26" s="27">
        <f>(Assumptions!H43/J26)^(1/9)-1</f>
        <v>4.8478815800981678E-2</v>
      </c>
    </row>
    <row r="27" spans="3:31" ht="14.5" hidden="1" outlineLevel="1" x14ac:dyDescent="0.35">
      <c r="C27" s="53" t="s">
        <v>135</v>
      </c>
      <c r="J27" s="31"/>
      <c r="K27" s="27">
        <v>0.15</v>
      </c>
      <c r="L27" s="27">
        <v>0.1</v>
      </c>
      <c r="M27" s="27">
        <v>0.1</v>
      </c>
      <c r="N27" s="27">
        <v>9.5000000000000001E-2</v>
      </c>
      <c r="O27" s="27">
        <v>4.4999999999999998E-2</v>
      </c>
      <c r="P27" s="27">
        <v>0.04</v>
      </c>
      <c r="Q27" s="27">
        <v>0.03</v>
      </c>
      <c r="R27" s="27">
        <v>2.5000000000000001E-2</v>
      </c>
      <c r="S27" s="27">
        <v>0.02</v>
      </c>
      <c r="U27" s="27"/>
    </row>
    <row r="28" spans="3:31" ht="14.5" hidden="1" outlineLevel="1" x14ac:dyDescent="0.35">
      <c r="C28" s="53" t="s">
        <v>136</v>
      </c>
      <c r="K28" s="27">
        <f t="shared" ref="K28:S28" si="10">K27+1</f>
        <v>1.1499999999999999</v>
      </c>
      <c r="L28" s="27">
        <f t="shared" si="10"/>
        <v>1.1000000000000001</v>
      </c>
      <c r="M28" s="27">
        <f t="shared" si="10"/>
        <v>1.1000000000000001</v>
      </c>
      <c r="N28" s="27">
        <f t="shared" si="10"/>
        <v>1.095</v>
      </c>
      <c r="O28" s="27">
        <f t="shared" si="10"/>
        <v>1.0449999999999999</v>
      </c>
      <c r="P28" s="27">
        <f t="shared" si="10"/>
        <v>1.04</v>
      </c>
      <c r="Q28" s="27">
        <f t="shared" si="10"/>
        <v>1.03</v>
      </c>
      <c r="R28" s="27">
        <f t="shared" si="10"/>
        <v>1.0249999999999999</v>
      </c>
      <c r="S28" s="27">
        <f t="shared" si="10"/>
        <v>1.02</v>
      </c>
      <c r="U28" s="35">
        <f>GEOMEAN(K28:S28)</f>
        <v>1.0663800818494145</v>
      </c>
    </row>
    <row r="29" spans="3:31" collapsed="1" x14ac:dyDescent="0.3">
      <c r="C29" s="18" t="s">
        <v>140</v>
      </c>
      <c r="G29" s="75">
        <v>6.8</v>
      </c>
      <c r="H29" s="75">
        <v>10.7</v>
      </c>
      <c r="I29" s="75">
        <v>12.4</v>
      </c>
      <c r="J29" s="18">
        <f>Assumptions!H68</f>
        <v>15.1</v>
      </c>
      <c r="K29" s="18">
        <f>K26*K22*K23</f>
        <v>18.791627447404682</v>
      </c>
      <c r="L29" s="18">
        <f t="shared" ref="L29:S29" si="11">L26*L22*L23</f>
        <v>22.072484198004332</v>
      </c>
      <c r="M29" s="18">
        <f t="shared" si="11"/>
        <v>25.664270051259635</v>
      </c>
      <c r="N29" s="18">
        <f t="shared" si="11"/>
        <v>29.553341509789764</v>
      </c>
      <c r="O29" s="18">
        <f t="shared" si="11"/>
        <v>32.144682258831438</v>
      </c>
      <c r="P29" s="18">
        <f t="shared" si="11"/>
        <v>34.435372809479162</v>
      </c>
      <c r="Q29" s="18">
        <f t="shared" si="11"/>
        <v>36.725878064912607</v>
      </c>
      <c r="R29" s="18">
        <f t="shared" si="11"/>
        <v>38.57257211761295</v>
      </c>
      <c r="S29" s="18">
        <f t="shared" si="11"/>
        <v>40.314503709345715</v>
      </c>
    </row>
    <row r="30" spans="3:31" x14ac:dyDescent="0.3">
      <c r="C30" s="18" t="s">
        <v>41</v>
      </c>
      <c r="J30" s="18">
        <f>'Raw Data'!AI6</f>
        <v>67.036626934252851</v>
      </c>
      <c r="K30" s="18">
        <f>J30*(1+Assumptions!$P$34)</f>
        <v>73.740289627678138</v>
      </c>
      <c r="L30" s="18">
        <f>K30*(1+Assumptions!$P$34)</f>
        <v>81.114318590445961</v>
      </c>
      <c r="M30" s="18">
        <f>L30*(1+Assumptions!$P$34)</f>
        <v>89.225750449490562</v>
      </c>
      <c r="N30" s="18">
        <f>M30*(1+Assumptions!$P$34)</f>
        <v>98.148325494439632</v>
      </c>
      <c r="O30" s="18">
        <f>N30*(1+Assumptions!$P$34)</f>
        <v>107.96315804388361</v>
      </c>
      <c r="P30" s="18">
        <f>O30*(1+Assumptions!$P$34)</f>
        <v>118.75947384827198</v>
      </c>
      <c r="Q30" s="18">
        <f>P30*(1+Assumptions!$P$34)</f>
        <v>130.63542123309918</v>
      </c>
      <c r="R30" s="18">
        <f>Q30*(1+Assumptions!$P$34)</f>
        <v>143.69896335640911</v>
      </c>
      <c r="S30" s="18">
        <f>R30*(1+Assumptions!$P$34)</f>
        <v>158.06885969205004</v>
      </c>
    </row>
    <row r="31" spans="3:31" s="34" customFormat="1" x14ac:dyDescent="0.3">
      <c r="C31" s="34" t="s">
        <v>141</v>
      </c>
      <c r="D31" s="58"/>
      <c r="E31" s="58"/>
      <c r="J31" s="65">
        <f>SUM('Raw Data'!I11,'Raw Data'!I19,'Raw Data'!J19)*10+'Raw Data'!F7*Assumptions!H23*3</f>
        <v>10719.653137237146</v>
      </c>
      <c r="K31" s="65">
        <f t="shared" ref="K31:R31" si="12">K29*K30*12</f>
        <v>16628.400606564566</v>
      </c>
      <c r="L31" s="65">
        <f t="shared" si="12"/>
        <v>21484.734183834091</v>
      </c>
      <c r="M31" s="65">
        <f t="shared" si="12"/>
        <v>27478.965060744318</v>
      </c>
      <c r="N31" s="65">
        <f t="shared" si="12"/>
        <v>34807.331783414156</v>
      </c>
      <c r="O31" s="65">
        <f t="shared" si="12"/>
        <v>41645.296931767683</v>
      </c>
      <c r="P31" s="65">
        <f t="shared" si="12"/>
        <v>49074.321079474044</v>
      </c>
      <c r="Q31" s="65">
        <f t="shared" si="12"/>
        <v>57572.406613983549</v>
      </c>
      <c r="R31" s="65">
        <f t="shared" si="12"/>
        <v>66514.063527495731</v>
      </c>
      <c r="S31" s="65">
        <f>S29*S30*12</f>
        <v>76469.611564646388</v>
      </c>
    </row>
    <row r="32" spans="3:31" x14ac:dyDescent="0.3">
      <c r="J32" s="35"/>
      <c r="K32" s="35"/>
      <c r="L32" s="35"/>
      <c r="M32" s="35"/>
      <c r="N32" s="35"/>
      <c r="O32" s="35"/>
      <c r="P32" s="35"/>
      <c r="Q32" s="35"/>
    </row>
    <row r="33" spans="3:22" x14ac:dyDescent="0.3">
      <c r="C33" s="34" t="s">
        <v>142</v>
      </c>
      <c r="K33" s="35"/>
      <c r="L33" s="35"/>
      <c r="M33" s="35"/>
      <c r="N33" s="35"/>
      <c r="O33" s="35"/>
      <c r="P33" s="35"/>
      <c r="Q33" s="35"/>
      <c r="R33" s="35"/>
      <c r="S33" s="35"/>
    </row>
    <row r="34" spans="3:22" x14ac:dyDescent="0.3">
      <c r="C34" s="18" t="s">
        <v>143</v>
      </c>
      <c r="E34" s="56">
        <f>Assumptions!H46</f>
        <v>2032</v>
      </c>
    </row>
    <row r="35" spans="3:22" x14ac:dyDescent="0.3">
      <c r="C35" s="18" t="s">
        <v>144</v>
      </c>
      <c r="E35" s="56"/>
      <c r="G35" s="27"/>
      <c r="J35" s="31">
        <f>Assumptions!H49</f>
        <v>0.2077</v>
      </c>
      <c r="K35" s="31">
        <f t="shared" ref="K35:R35" si="13">J35+($S35-$J35)/COUNT($K$6:$S$6)</f>
        <v>0.20462222222222223</v>
      </c>
      <c r="L35" s="31">
        <f t="shared" si="13"/>
        <v>0.20154444444444447</v>
      </c>
      <c r="M35" s="31">
        <f t="shared" si="13"/>
        <v>0.19846666666666671</v>
      </c>
      <c r="N35" s="31">
        <f t="shared" si="13"/>
        <v>0.19538888888888895</v>
      </c>
      <c r="O35" s="31">
        <f t="shared" si="13"/>
        <v>0.19231111111111118</v>
      </c>
      <c r="P35" s="31">
        <f t="shared" si="13"/>
        <v>0.18923333333333342</v>
      </c>
      <c r="Q35" s="31">
        <f t="shared" si="13"/>
        <v>0.18615555555555566</v>
      </c>
      <c r="R35" s="31">
        <f t="shared" si="13"/>
        <v>0.18307777777777789</v>
      </c>
      <c r="S35" s="31">
        <f>Assumptions!H50</f>
        <v>0.18000000000000002</v>
      </c>
    </row>
    <row r="36" spans="3:22" x14ac:dyDescent="0.3">
      <c r="C36" s="18" t="s">
        <v>145</v>
      </c>
      <c r="J36" s="18">
        <f>SUM('Raw Data'!G25:G36)*10</f>
        <v>90930291.400000006</v>
      </c>
      <c r="K36" s="18">
        <f>(Assumptions!$P$14*1000000*(1+Assumptions!$P$19)^(K6-$J$6))*K37</f>
        <v>114176602.64980018</v>
      </c>
      <c r="L36" s="18">
        <f>(Assumptions!$P$14*1000000*(1+Assumptions!$P$19)^(L6-$J$6))*L37</f>
        <v>142000439.98765922</v>
      </c>
      <c r="M36" s="18">
        <f>(Assumptions!$P$14*1000000*(1+Assumptions!$P$19)^(M6-$J$6))*M37</f>
        <v>169812214.05397794</v>
      </c>
      <c r="N36" s="18">
        <f>(Assumptions!$P$14*1000000*(1+Assumptions!$P$19)^(N6-$J$6))*N37</f>
        <v>201040406.38166949</v>
      </c>
      <c r="O36" s="18">
        <f>(Assumptions!$P$14*1000000*(1+Assumptions!$P$19)^(O6-$J$6))*O37</f>
        <v>234405179.39117622</v>
      </c>
      <c r="P36" s="18">
        <f>(Assumptions!$P$14*1000000*(1+Assumptions!$P$19)^(P6-$J$6))*P37</f>
        <v>269102461.94681531</v>
      </c>
      <c r="Q36" s="18">
        <f>(Assumptions!$P$14*1000000*(1+Assumptions!$P$19)^(Q6-$J$6))*Q37</f>
        <v>308935729.2100994</v>
      </c>
      <c r="R36" s="18">
        <f>(Assumptions!$P$14*1000000*(1+Assumptions!$P$19)^(R6-$J$6))*R37</f>
        <v>350970793.98487115</v>
      </c>
      <c r="S36" s="18">
        <f>(Assumptions!$P$14*1000000*(1+Assumptions!$P$19)^(S6-$J$6))*S37</f>
        <v>398725322.40063053</v>
      </c>
    </row>
    <row r="37" spans="3:22" x14ac:dyDescent="0.3">
      <c r="C37" s="18" t="s">
        <v>146</v>
      </c>
      <c r="J37" s="31">
        <f>Assumptions!P38</f>
        <v>0.41290659976387251</v>
      </c>
      <c r="K37" s="31">
        <f t="shared" ref="K37:R37" si="14">J37*(1+$U37)*K39/$U39</f>
        <v>0.47348501498418633</v>
      </c>
      <c r="L37" s="31">
        <f t="shared" si="14"/>
        <v>0.53778005768419024</v>
      </c>
      <c r="M37" s="31">
        <f t="shared" si="14"/>
        <v>0.58731326329561073</v>
      </c>
      <c r="N37" s="31">
        <f t="shared" si="14"/>
        <v>0.63499472632182941</v>
      </c>
      <c r="O37" s="31">
        <f t="shared" si="14"/>
        <v>0.67614501332591381</v>
      </c>
      <c r="P37" s="31">
        <f t="shared" si="14"/>
        <v>0.70888567067667252</v>
      </c>
      <c r="Q37" s="31">
        <f t="shared" si="14"/>
        <v>0.74321171374001227</v>
      </c>
      <c r="R37" s="31">
        <f t="shared" si="14"/>
        <v>0.77108324517655702</v>
      </c>
      <c r="S37" s="30">
        <f>Assumptions!P39</f>
        <v>0.8</v>
      </c>
      <c r="U37" s="27">
        <f>(S37/J37)^(1/9)-1</f>
        <v>7.6255419546741532E-2</v>
      </c>
    </row>
    <row r="38" spans="3:22" ht="14.5" hidden="1" outlineLevel="1" x14ac:dyDescent="0.35">
      <c r="C38" s="53" t="s">
        <v>135</v>
      </c>
      <c r="J38" s="31"/>
      <c r="K38" s="27">
        <v>0.05</v>
      </c>
      <c r="L38" s="27">
        <v>0.04</v>
      </c>
      <c r="M38" s="27">
        <v>0</v>
      </c>
      <c r="N38" s="27">
        <v>-0.01</v>
      </c>
      <c r="O38" s="27">
        <v>-2.5000000000000001E-2</v>
      </c>
      <c r="P38" s="27">
        <v>-0.04</v>
      </c>
      <c r="Q38" s="27">
        <v>-0.04</v>
      </c>
      <c r="R38" s="27">
        <v>-0.05</v>
      </c>
      <c r="S38" s="27">
        <v>-0.05</v>
      </c>
      <c r="U38" s="27"/>
    </row>
    <row r="39" spans="3:22" ht="14.5" hidden="1" outlineLevel="1" x14ac:dyDescent="0.35">
      <c r="C39" s="53" t="s">
        <v>136</v>
      </c>
      <c r="K39" s="27">
        <f t="shared" ref="K39:S39" si="15">K38+1</f>
        <v>1.05</v>
      </c>
      <c r="L39" s="27">
        <f t="shared" si="15"/>
        <v>1.04</v>
      </c>
      <c r="M39" s="27">
        <f t="shared" si="15"/>
        <v>1</v>
      </c>
      <c r="N39" s="27">
        <f t="shared" si="15"/>
        <v>0.99</v>
      </c>
      <c r="O39" s="27">
        <f t="shared" si="15"/>
        <v>0.97499999999999998</v>
      </c>
      <c r="P39" s="27">
        <f t="shared" si="15"/>
        <v>0.96</v>
      </c>
      <c r="Q39" s="27">
        <f t="shared" si="15"/>
        <v>0.96</v>
      </c>
      <c r="R39" s="27">
        <f t="shared" si="15"/>
        <v>0.95</v>
      </c>
      <c r="S39" s="27">
        <f t="shared" si="15"/>
        <v>0.95</v>
      </c>
      <c r="U39" s="35">
        <f>GEOMEAN(K39:S39)</f>
        <v>0.98548549433226207</v>
      </c>
    </row>
    <row r="40" spans="3:22" collapsed="1" x14ac:dyDescent="0.3">
      <c r="C40" s="18" t="s">
        <v>147</v>
      </c>
      <c r="J40" s="31">
        <f>Assumptions!$H$51</f>
        <v>0.66500000000000004</v>
      </c>
      <c r="K40" s="31">
        <f>Assumptions!$H$51</f>
        <v>0.66500000000000004</v>
      </c>
      <c r="L40" s="31">
        <f>Assumptions!$H$51</f>
        <v>0.66500000000000004</v>
      </c>
      <c r="M40" s="31">
        <f>Assumptions!$H$51</f>
        <v>0.66500000000000004</v>
      </c>
      <c r="N40" s="31">
        <f>Assumptions!$H$51</f>
        <v>0.66500000000000004</v>
      </c>
      <c r="O40" s="31">
        <f>Assumptions!$H$51</f>
        <v>0.66500000000000004</v>
      </c>
      <c r="P40" s="31">
        <f>Assumptions!$H$51</f>
        <v>0.66500000000000004</v>
      </c>
      <c r="Q40" s="31">
        <f>Assumptions!$H$51</f>
        <v>0.66500000000000004</v>
      </c>
      <c r="R40" s="31">
        <f>Assumptions!$H$51</f>
        <v>0.66500000000000004</v>
      </c>
      <c r="S40" s="31">
        <f>Assumptions!$H$51</f>
        <v>0.66500000000000004</v>
      </c>
      <c r="U40" s="35"/>
    </row>
    <row r="41" spans="3:22" x14ac:dyDescent="0.3">
      <c r="C41" s="18" t="s">
        <v>148</v>
      </c>
      <c r="J41" s="31">
        <f>IF(Assumptions!$H$46&lt;=YEAR(Schedules!J7),Assumptions!$H$48,0)</f>
        <v>0</v>
      </c>
      <c r="K41" s="31">
        <f>IF(Assumptions!$H$46&lt;=YEAR(Schedules!K7),Assumptions!$H$48,0)</f>
        <v>0</v>
      </c>
      <c r="L41" s="31">
        <f>IF(Assumptions!$H$46&lt;=YEAR(Schedules!L7),Assumptions!$H$48,0)</f>
        <v>0</v>
      </c>
      <c r="M41" s="31">
        <f>IF(Assumptions!$H$46&lt;=YEAR(Schedules!M7),Assumptions!$H$48,0)</f>
        <v>0</v>
      </c>
      <c r="N41" s="31">
        <f>IF(Assumptions!$H$46&lt;=YEAR(Schedules!N7),Assumptions!$H$48,0)</f>
        <v>0</v>
      </c>
      <c r="O41" s="31">
        <f>IF(Assumptions!$H$46&lt;=YEAR(Schedules!O7),Assumptions!$H$48,0)</f>
        <v>0</v>
      </c>
      <c r="P41" s="31">
        <f>IF(Assumptions!$H$46&lt;=YEAR(Schedules!P7),Assumptions!$H$48,0)</f>
        <v>5.0000000000000001E-4</v>
      </c>
      <c r="Q41" s="31">
        <f>IF(Assumptions!$H$46&lt;=YEAR(Schedules!Q7),Assumptions!$H$48,0)</f>
        <v>5.0000000000000001E-4</v>
      </c>
      <c r="R41" s="31">
        <f>IF(Assumptions!$H$46&lt;=YEAR(Schedules!R7),Assumptions!$H$48,0)</f>
        <v>5.0000000000000001E-4</v>
      </c>
      <c r="S41" s="31">
        <f>IF(Assumptions!$H$46&lt;=YEAR(Schedules!Q7),Assumptions!$H$48,0)</f>
        <v>5.0000000000000001E-4</v>
      </c>
      <c r="U41" s="35"/>
    </row>
    <row r="42" spans="3:22" x14ac:dyDescent="0.3">
      <c r="C42" s="18" t="s">
        <v>149</v>
      </c>
      <c r="E42" s="59">
        <f>Assumptions!H19</f>
        <v>700</v>
      </c>
    </row>
    <row r="43" spans="3:22" s="34" customFormat="1" x14ac:dyDescent="0.3">
      <c r="C43" s="34" t="s">
        <v>150</v>
      </c>
      <c r="D43" s="58"/>
      <c r="E43" s="58"/>
      <c r="J43" s="65">
        <f>IF($E$34&lt;=YEAR(Schedules!J7),J41*J37*J36*J35*J40,$E$42)</f>
        <v>700</v>
      </c>
      <c r="K43" s="65">
        <f>IF($E$34&lt;=YEAR(Schedules!K7),K41*K37*K36*K35*K40,$E$42)</f>
        <v>700</v>
      </c>
      <c r="L43" s="65">
        <f>IF($E$34&lt;=YEAR(Schedules!L7),L41*L37*L36*L35*L40,$E$42)</f>
        <v>700</v>
      </c>
      <c r="M43" s="65">
        <f>IF($E$34&lt;=YEAR(Schedules!M7),M41*M37*M36*M35*M40,$E$42)</f>
        <v>700</v>
      </c>
      <c r="N43" s="65">
        <f>IF($E$34&lt;=YEAR(Schedules!N7),N41*N37*N36*N35*N40,$E$42)</f>
        <v>700</v>
      </c>
      <c r="O43" s="65">
        <f>IF($E$34&lt;=YEAR(Schedules!O7),O41*O37*O36*O35*O40,$E$42)</f>
        <v>700</v>
      </c>
      <c r="P43" s="65">
        <f>IF($E$34&lt;=YEAR(Schedules!P7),P41*P37*P36*P35*P40,$E$42)</f>
        <v>12002.816257297625</v>
      </c>
      <c r="Q43" s="65">
        <f>IF($E$34&lt;=YEAR(Schedules!Q7),Q41*Q37*Q36*Q35*Q40,$E$42)</f>
        <v>14211.77541168642</v>
      </c>
      <c r="R43" s="65">
        <f>IF($E$34&lt;=YEAR(Schedules!R7),R41*R37*R36*R35*R40,$E$42)</f>
        <v>16474.017634993823</v>
      </c>
      <c r="S43" s="65">
        <f>IF($E$34&lt;=YEAR(Schedules!S7),S41*S37*S36*S35*S40,$E$42)</f>
        <v>19090.968436542193</v>
      </c>
      <c r="U43" s="54"/>
      <c r="V43" s="186"/>
    </row>
    <row r="44" spans="3:22" s="34" customFormat="1" x14ac:dyDescent="0.3">
      <c r="D44" s="58"/>
      <c r="E44" s="58"/>
      <c r="U44" s="54"/>
    </row>
    <row r="45" spans="3:22" s="34" customFormat="1" ht="14.5" hidden="1" outlineLevel="1" x14ac:dyDescent="0.35">
      <c r="C45" s="53" t="s">
        <v>135</v>
      </c>
      <c r="D45" s="58"/>
      <c r="E45" s="58"/>
      <c r="K45" s="27">
        <v>0.04</v>
      </c>
      <c r="L45" s="27">
        <v>0.01</v>
      </c>
      <c r="M45" s="27">
        <v>0</v>
      </c>
      <c r="N45" s="27">
        <v>-5.0000000000000001E-3</v>
      </c>
      <c r="O45" s="27">
        <v>-0.01</v>
      </c>
      <c r="P45" s="27">
        <v>-0.02</v>
      </c>
      <c r="Q45" s="27">
        <v>-0.03</v>
      </c>
      <c r="R45" s="27">
        <v>-0.04</v>
      </c>
      <c r="S45" s="27">
        <v>-0.05</v>
      </c>
      <c r="U45" s="54"/>
    </row>
    <row r="46" spans="3:22" s="34" customFormat="1" ht="14.5" hidden="1" outlineLevel="1" x14ac:dyDescent="0.35">
      <c r="C46" s="53" t="s">
        <v>136</v>
      </c>
      <c r="D46" s="58"/>
      <c r="E46" s="58"/>
      <c r="K46" s="27">
        <f t="shared" ref="K46:S46" si="16">K45+1</f>
        <v>1.04</v>
      </c>
      <c r="L46" s="27">
        <f t="shared" si="16"/>
        <v>1.01</v>
      </c>
      <c r="M46" s="27">
        <f t="shared" si="16"/>
        <v>1</v>
      </c>
      <c r="N46" s="27">
        <f t="shared" si="16"/>
        <v>0.995</v>
      </c>
      <c r="O46" s="27">
        <f t="shared" si="16"/>
        <v>0.99</v>
      </c>
      <c r="P46" s="27">
        <f t="shared" si="16"/>
        <v>0.98</v>
      </c>
      <c r="Q46" s="27">
        <f t="shared" si="16"/>
        <v>0.97</v>
      </c>
      <c r="R46" s="27">
        <f t="shared" si="16"/>
        <v>0.96</v>
      </c>
      <c r="S46" s="27">
        <f t="shared" si="16"/>
        <v>0.95</v>
      </c>
      <c r="U46" s="54">
        <f>GEOMEAN(K46:S46)</f>
        <v>0.98799826482408593</v>
      </c>
    </row>
    <row r="47" spans="3:22" s="34" customFormat="1" ht="14.5" collapsed="1" thickBot="1" x14ac:dyDescent="0.35">
      <c r="C47" s="34" t="s">
        <v>788</v>
      </c>
      <c r="D47" s="58"/>
      <c r="E47" s="58"/>
      <c r="J47" s="72">
        <f t="shared" ref="J47:S47" si="17">SUM(J19,J31,J43)</f>
        <v>46756.791326837141</v>
      </c>
      <c r="K47" s="72">
        <f t="shared" si="17"/>
        <v>60021.486013825386</v>
      </c>
      <c r="L47" s="72">
        <f t="shared" si="17"/>
        <v>73255.99297837801</v>
      </c>
      <c r="M47" s="72">
        <f t="shared" si="17"/>
        <v>86901.568252502067</v>
      </c>
      <c r="N47" s="72">
        <f t="shared" si="17"/>
        <v>102327.28922791014</v>
      </c>
      <c r="O47" s="72">
        <f t="shared" si="17"/>
        <v>117197.91868536649</v>
      </c>
      <c r="P47" s="72">
        <f t="shared" si="17"/>
        <v>143604.52722948845</v>
      </c>
      <c r="Q47" s="72">
        <f t="shared" si="17"/>
        <v>162734.78455151408</v>
      </c>
      <c r="R47" s="72">
        <f t="shared" si="17"/>
        <v>182133.82171058087</v>
      </c>
      <c r="S47" s="72">
        <f t="shared" si="17"/>
        <v>203590.22203910942</v>
      </c>
      <c r="V47" s="54"/>
    </row>
    <row r="48" spans="3:22" ht="14.5" thickTop="1" x14ac:dyDescent="0.3">
      <c r="K48" s="35"/>
      <c r="L48" s="35"/>
      <c r="M48" s="35"/>
      <c r="N48" s="35"/>
      <c r="O48" s="35"/>
      <c r="P48" s="35"/>
      <c r="Q48" s="35"/>
      <c r="R48" s="35"/>
      <c r="S48" s="35"/>
    </row>
    <row r="49" spans="2:21" x14ac:dyDescent="0.3">
      <c r="B49" s="34" t="s">
        <v>151</v>
      </c>
      <c r="J49" s="27"/>
      <c r="K49" s="27"/>
      <c r="L49" s="27"/>
      <c r="M49" s="27"/>
      <c r="N49" s="27"/>
      <c r="O49" s="27"/>
      <c r="P49" s="27"/>
      <c r="Q49" s="27"/>
    </row>
    <row r="50" spans="2:21" x14ac:dyDescent="0.3">
      <c r="C50" s="34" t="s">
        <v>59</v>
      </c>
    </row>
    <row r="51" spans="2:21" x14ac:dyDescent="0.3">
      <c r="C51" s="18" t="s">
        <v>61</v>
      </c>
      <c r="E51" s="55" t="s">
        <v>84</v>
      </c>
      <c r="J51" s="18">
        <f>Assumptions!H67*1000</f>
        <v>241500</v>
      </c>
      <c r="K51" s="18">
        <f>J51*(1+Assumptions!$P$59)</f>
        <v>275310.00000000006</v>
      </c>
      <c r="L51" s="18">
        <f>K51*(1+Assumptions!$P$59)</f>
        <v>313853.40000000008</v>
      </c>
      <c r="M51" s="18">
        <f>L51*(1+Assumptions!$P$60)</f>
        <v>345238.74000000011</v>
      </c>
      <c r="N51" s="18">
        <f>M51*(1+Assumptions!$P$60)</f>
        <v>379762.61400000018</v>
      </c>
      <c r="O51" s="18">
        <f>N51*(1+Assumptions!$P$61)</f>
        <v>410143.62312000024</v>
      </c>
      <c r="P51" s="18">
        <f>O51*(1+Assumptions!$P$61)</f>
        <v>442955.1129696003</v>
      </c>
      <c r="Q51" s="18">
        <f>P51*(1+Assumptions!$P$61)</f>
        <v>478391.52200716839</v>
      </c>
      <c r="R51" s="18">
        <f>Q51*(1+Assumptions!$P$62)</f>
        <v>509486.97093763429</v>
      </c>
      <c r="S51" s="18">
        <f>R51*(1+Assumptions!$P$62)</f>
        <v>542603.62404858053</v>
      </c>
      <c r="U51" s="27"/>
    </row>
    <row r="52" spans="2:21" x14ac:dyDescent="0.3">
      <c r="C52" s="18" t="s">
        <v>44</v>
      </c>
      <c r="H52" s="183"/>
      <c r="J52" s="18">
        <f>Assumptions!H68</f>
        <v>15.1</v>
      </c>
      <c r="K52" s="18">
        <f t="shared" ref="K52:S52" si="18">K29</f>
        <v>18.791627447404682</v>
      </c>
      <c r="L52" s="18">
        <f t="shared" si="18"/>
        <v>22.072484198004332</v>
      </c>
      <c r="M52" s="18">
        <f t="shared" si="18"/>
        <v>25.664270051259635</v>
      </c>
      <c r="N52" s="18">
        <f t="shared" si="18"/>
        <v>29.553341509789764</v>
      </c>
      <c r="O52" s="18">
        <f t="shared" si="18"/>
        <v>32.144682258831438</v>
      </c>
      <c r="P52" s="18">
        <f t="shared" si="18"/>
        <v>34.435372809479162</v>
      </c>
      <c r="Q52" s="18">
        <f t="shared" si="18"/>
        <v>36.725878064912607</v>
      </c>
      <c r="R52" s="18">
        <f t="shared" si="18"/>
        <v>38.57257211761295</v>
      </c>
      <c r="S52" s="18">
        <f t="shared" si="18"/>
        <v>40.314503709345715</v>
      </c>
    </row>
    <row r="53" spans="2:21" x14ac:dyDescent="0.3">
      <c r="C53" s="18" t="s">
        <v>64</v>
      </c>
      <c r="J53" s="30">
        <f>Assumptions!H69</f>
        <v>7.0000000000000007E-2</v>
      </c>
      <c r="K53" s="30">
        <f t="shared" ref="K53:R53" si="19">J53+($S53-$J53)/COUNT($K$6:$S$6)</f>
        <v>7.3333333333333334E-2</v>
      </c>
      <c r="L53" s="30">
        <f t="shared" si="19"/>
        <v>7.6666666666666661E-2</v>
      </c>
      <c r="M53" s="30">
        <f t="shared" si="19"/>
        <v>7.9999999999999988E-2</v>
      </c>
      <c r="N53" s="30">
        <f t="shared" si="19"/>
        <v>8.3333333333333315E-2</v>
      </c>
      <c r="O53" s="30">
        <f t="shared" si="19"/>
        <v>8.6666666666666642E-2</v>
      </c>
      <c r="P53" s="30">
        <f t="shared" si="19"/>
        <v>8.9999999999999969E-2</v>
      </c>
      <c r="Q53" s="30">
        <f t="shared" si="19"/>
        <v>9.3333333333333296E-2</v>
      </c>
      <c r="R53" s="30">
        <f t="shared" si="19"/>
        <v>9.6666666666666623E-2</v>
      </c>
      <c r="S53" s="30">
        <f>Assumptions!P57</f>
        <v>0.1</v>
      </c>
    </row>
    <row r="54" spans="2:21" x14ac:dyDescent="0.3">
      <c r="C54" s="18" t="s">
        <v>66</v>
      </c>
      <c r="E54" s="55" t="s">
        <v>84</v>
      </c>
      <c r="J54" s="18">
        <f t="shared" ref="J54:R54" si="20">J53*J52*1000000</f>
        <v>1057000.0000000002</v>
      </c>
      <c r="K54" s="18">
        <f t="shared" si="20"/>
        <v>1378052.6794763436</v>
      </c>
      <c r="L54" s="18">
        <f t="shared" si="20"/>
        <v>1692223.7885136653</v>
      </c>
      <c r="M54" s="18">
        <f t="shared" si="20"/>
        <v>2053141.6041007703</v>
      </c>
      <c r="N54" s="18">
        <f t="shared" si="20"/>
        <v>2462778.4591491465</v>
      </c>
      <c r="O54" s="18">
        <f t="shared" si="20"/>
        <v>2785872.4624320571</v>
      </c>
      <c r="P54" s="18">
        <f t="shared" si="20"/>
        <v>3099183.5528531233</v>
      </c>
      <c r="Q54" s="18">
        <f t="shared" si="20"/>
        <v>3427748.6193918423</v>
      </c>
      <c r="R54" s="18">
        <f t="shared" si="20"/>
        <v>3728681.9713692502</v>
      </c>
      <c r="S54" s="18">
        <f>S53*S52*1000000</f>
        <v>4031450.3709345716</v>
      </c>
    </row>
    <row r="55" spans="2:21" x14ac:dyDescent="0.3">
      <c r="C55" s="18" t="s">
        <v>68</v>
      </c>
      <c r="J55" s="31">
        <f>Assumptions!H71</f>
        <v>5.7500000000000002E-2</v>
      </c>
      <c r="K55" s="31">
        <f t="shared" ref="K55:R55" si="21">J55+($S55-$J55)/COUNT($K$6:$S$6)</f>
        <v>5.7500000000000002E-2</v>
      </c>
      <c r="L55" s="31">
        <f t="shared" si="21"/>
        <v>5.7500000000000002E-2</v>
      </c>
      <c r="M55" s="31">
        <f t="shared" si="21"/>
        <v>5.7500000000000002E-2</v>
      </c>
      <c r="N55" s="31">
        <f t="shared" si="21"/>
        <v>5.7500000000000002E-2</v>
      </c>
      <c r="O55" s="31">
        <f t="shared" si="21"/>
        <v>5.7500000000000002E-2</v>
      </c>
      <c r="P55" s="31">
        <f t="shared" si="21"/>
        <v>5.7500000000000002E-2</v>
      </c>
      <c r="Q55" s="31">
        <f t="shared" si="21"/>
        <v>5.7500000000000002E-2</v>
      </c>
      <c r="R55" s="31">
        <f t="shared" si="21"/>
        <v>5.7500000000000002E-2</v>
      </c>
      <c r="S55" s="31">
        <f>Assumptions!P63</f>
        <v>5.7500000000000002E-2</v>
      </c>
    </row>
    <row r="56" spans="2:21" s="34" customFormat="1" x14ac:dyDescent="0.3">
      <c r="C56" s="34" t="s">
        <v>152</v>
      </c>
      <c r="D56" s="58"/>
      <c r="E56" s="58"/>
      <c r="J56" s="65">
        <f t="shared" ref="J56:S56" si="22">J54*J51*J55/1000000</f>
        <v>14677.766250000004</v>
      </c>
      <c r="K56" s="65">
        <f t="shared" si="22"/>
        <v>21815.021783231354</v>
      </c>
      <c r="L56" s="65">
        <f t="shared" si="22"/>
        <v>30538.835901188962</v>
      </c>
      <c r="M56" s="65">
        <f t="shared" si="22"/>
        <v>40757.381175376417</v>
      </c>
      <c r="N56" s="65">
        <f t="shared" si="22"/>
        <v>53778.093157588926</v>
      </c>
      <c r="O56" s="65">
        <f t="shared" si="22"/>
        <v>65699.949954296942</v>
      </c>
      <c r="P56" s="65">
        <f t="shared" si="22"/>
        <v>78935.954044136</v>
      </c>
      <c r="Q56" s="65">
        <f t="shared" si="22"/>
        <v>94288.838047607918</v>
      </c>
      <c r="R56" s="65">
        <f t="shared" si="22"/>
        <v>109233.60578300446</v>
      </c>
      <c r="S56" s="65">
        <f t="shared" si="22"/>
        <v>125780.07593286283</v>
      </c>
    </row>
    <row r="57" spans="2:21" x14ac:dyDescent="0.3">
      <c r="K57" s="35"/>
    </row>
    <row r="58" spans="2:21" x14ac:dyDescent="0.3">
      <c r="C58" s="34" t="s">
        <v>153</v>
      </c>
      <c r="J58" s="65">
        <f>SUM('Raw Data'!B59:D59,'Raw Data'!B59*(1+Assumptions!H62))</f>
        <v>9116.7332800000004</v>
      </c>
      <c r="K58" s="65">
        <f t="shared" ref="K58:P58" si="23">J58*(1+$U58)*K60/$U60</f>
        <v>11233.597223744855</v>
      </c>
      <c r="L58" s="65">
        <f t="shared" si="23"/>
        <v>13457.487685418695</v>
      </c>
      <c r="M58" s="65">
        <f t="shared" si="23"/>
        <v>15661.018640692928</v>
      </c>
      <c r="N58" s="65">
        <f t="shared" si="23"/>
        <v>17867.996146311041</v>
      </c>
      <c r="O58" s="65">
        <f t="shared" si="23"/>
        <v>20182.124845983562</v>
      </c>
      <c r="P58" s="65">
        <f t="shared" si="23"/>
        <v>22565.699875657527</v>
      </c>
      <c r="Q58" s="65">
        <f>P58*(1+Assumptions!$H$73)*Schedules!Q60*Schedules!$U$60</f>
        <v>24932.992191018137</v>
      </c>
      <c r="R58" s="65">
        <f>Q58*(1+Assumptions!$H$73)*Schedules!R60*Schedules!$U$60</f>
        <v>27264.622760961709</v>
      </c>
      <c r="S58" s="65">
        <f>R58*(1+Assumptions!$H$73)*Schedules!S60*Schedules!$U$60</f>
        <v>29503.732200673596</v>
      </c>
      <c r="U58" s="27">
        <f>Assumptions!H73</f>
        <v>0.14000000000000001</v>
      </c>
    </row>
    <row r="59" spans="2:21" ht="14.5" hidden="1" outlineLevel="1" x14ac:dyDescent="0.35">
      <c r="C59" s="53" t="s">
        <v>135</v>
      </c>
      <c r="J59" s="31"/>
      <c r="K59" s="27">
        <v>0.08</v>
      </c>
      <c r="L59" s="27">
        <v>0.05</v>
      </c>
      <c r="M59" s="27">
        <v>0.02</v>
      </c>
      <c r="N59" s="27">
        <v>0</v>
      </c>
      <c r="O59" s="27">
        <v>-0.01</v>
      </c>
      <c r="P59" s="27">
        <v>-0.02</v>
      </c>
      <c r="Q59" s="27">
        <v>-0.03</v>
      </c>
      <c r="R59" s="27">
        <v>-0.04</v>
      </c>
      <c r="S59" s="27">
        <v>-0.05</v>
      </c>
    </row>
    <row r="60" spans="2:21" ht="14.5" hidden="1" outlineLevel="1" x14ac:dyDescent="0.35">
      <c r="C60" s="53" t="s">
        <v>136</v>
      </c>
      <c r="K60" s="27">
        <f t="shared" ref="K60:S60" si="24">K59+1</f>
        <v>1.08</v>
      </c>
      <c r="L60" s="27">
        <f t="shared" si="24"/>
        <v>1.05</v>
      </c>
      <c r="M60" s="27">
        <f t="shared" si="24"/>
        <v>1.02</v>
      </c>
      <c r="N60" s="27">
        <f t="shared" si="24"/>
        <v>1</v>
      </c>
      <c r="O60" s="27">
        <f t="shared" si="24"/>
        <v>0.99</v>
      </c>
      <c r="P60" s="27">
        <f t="shared" si="24"/>
        <v>0.98</v>
      </c>
      <c r="Q60" s="27">
        <f t="shared" si="24"/>
        <v>0.97</v>
      </c>
      <c r="R60" s="27">
        <f t="shared" si="24"/>
        <v>0.96</v>
      </c>
      <c r="S60" s="27">
        <f t="shared" si="24"/>
        <v>0.95</v>
      </c>
      <c r="U60" s="35">
        <f>GEOMEAN(K60:S60)</f>
        <v>0.9991921368348804</v>
      </c>
    </row>
    <row r="61" spans="2:21" collapsed="1" x14ac:dyDescent="0.3">
      <c r="C61" s="34" t="s">
        <v>154</v>
      </c>
      <c r="J61" s="65">
        <f>SUM('Raw Data'!B65:D65,'Raw Data'!B65*(1+Assumptions!H63))</f>
        <v>1191.4425782816002</v>
      </c>
      <c r="K61" s="65">
        <f t="shared" ref="K61:P61" si="25">J61*(1+$U61)*K63/$U63</f>
        <v>1480.9681018039118</v>
      </c>
      <c r="L61" s="65">
        <f t="shared" si="25"/>
        <v>1789.7148276135208</v>
      </c>
      <c r="M61" s="65">
        <f t="shared" si="25"/>
        <v>2101.0328398306656</v>
      </c>
      <c r="N61" s="65">
        <f t="shared" si="25"/>
        <v>2418.1412930840024</v>
      </c>
      <c r="O61" s="65">
        <f t="shared" si="25"/>
        <v>2755.2797511967278</v>
      </c>
      <c r="P61" s="65">
        <f t="shared" si="25"/>
        <v>3107.7108847503428</v>
      </c>
      <c r="Q61" s="65">
        <f>P61*(1+Assumptions!$H$74)*Schedules!Q63/Schedules!$U$63</f>
        <v>3469.4543363003686</v>
      </c>
      <c r="R61" s="65">
        <f>Q61*(1+Assumptions!$H$74)*Schedules!R63/Schedules!$U$63</f>
        <v>3833.3744292751294</v>
      </c>
      <c r="S61" s="65">
        <f>R61*(1+Assumptions!$H$74)*Schedules!S63/Schedules!$U$63</f>
        <v>4191.3475993207821</v>
      </c>
      <c r="U61" s="27">
        <f>Assumptions!H74</f>
        <v>0.15</v>
      </c>
    </row>
    <row r="62" spans="2:21" ht="14.5" hidden="1" outlineLevel="2" x14ac:dyDescent="0.35">
      <c r="C62" s="53" t="s">
        <v>135</v>
      </c>
      <c r="J62" s="31"/>
      <c r="K62" s="27">
        <v>0.08</v>
      </c>
      <c r="L62" s="27">
        <v>0.05</v>
      </c>
      <c r="M62" s="27">
        <v>0.02</v>
      </c>
      <c r="N62" s="27">
        <v>0</v>
      </c>
      <c r="O62" s="27">
        <v>-0.01</v>
      </c>
      <c r="P62" s="27">
        <v>-0.02</v>
      </c>
      <c r="Q62" s="27">
        <v>-0.03</v>
      </c>
      <c r="R62" s="27">
        <v>-0.04</v>
      </c>
      <c r="S62" s="27">
        <v>-0.05</v>
      </c>
    </row>
    <row r="63" spans="2:21" ht="14.5" hidden="1" outlineLevel="2" x14ac:dyDescent="0.35">
      <c r="C63" s="53" t="s">
        <v>136</v>
      </c>
      <c r="K63" s="27">
        <f t="shared" ref="K63:S63" si="26">K62+1</f>
        <v>1.08</v>
      </c>
      <c r="L63" s="27">
        <f t="shared" si="26"/>
        <v>1.05</v>
      </c>
      <c r="M63" s="27">
        <f t="shared" si="26"/>
        <v>1.02</v>
      </c>
      <c r="N63" s="27">
        <f t="shared" si="26"/>
        <v>1</v>
      </c>
      <c r="O63" s="27">
        <f t="shared" si="26"/>
        <v>0.99</v>
      </c>
      <c r="P63" s="27">
        <f t="shared" si="26"/>
        <v>0.98</v>
      </c>
      <c r="Q63" s="27">
        <f t="shared" si="26"/>
        <v>0.97</v>
      </c>
      <c r="R63" s="27">
        <f t="shared" si="26"/>
        <v>0.96</v>
      </c>
      <c r="S63" s="27">
        <f t="shared" si="26"/>
        <v>0.95</v>
      </c>
      <c r="U63" s="35">
        <f>GEOMEAN(K63:S63)</f>
        <v>0.9991921368348804</v>
      </c>
    </row>
    <row r="64" spans="2:21" collapsed="1" x14ac:dyDescent="0.3">
      <c r="K64" s="27"/>
      <c r="L64" s="27"/>
      <c r="M64" s="27"/>
      <c r="N64" s="27"/>
      <c r="O64" s="27"/>
      <c r="P64" s="27"/>
      <c r="Q64" s="27"/>
      <c r="R64" s="27"/>
      <c r="S64" s="27"/>
    </row>
    <row r="65" spans="2:21" ht="14.5" thickBot="1" x14ac:dyDescent="0.35">
      <c r="C65" s="34" t="s">
        <v>787</v>
      </c>
      <c r="J65" s="72">
        <f>SUM(J61,J58,J56)</f>
        <v>24985.942108281604</v>
      </c>
      <c r="K65" s="72">
        <f t="shared" ref="K65:S65" si="27">SUM(K61,K58,K56)</f>
        <v>34529.587108780121</v>
      </c>
      <c r="L65" s="72">
        <f t="shared" si="27"/>
        <v>45786.038414221177</v>
      </c>
      <c r="M65" s="72">
        <f t="shared" si="27"/>
        <v>58519.432655900011</v>
      </c>
      <c r="N65" s="72">
        <f t="shared" si="27"/>
        <v>74064.230596983965</v>
      </c>
      <c r="O65" s="72">
        <f t="shared" si="27"/>
        <v>88637.354551477241</v>
      </c>
      <c r="P65" s="72">
        <f t="shared" si="27"/>
        <v>104609.36480454387</v>
      </c>
      <c r="Q65" s="72">
        <f t="shared" si="27"/>
        <v>122691.28457492642</v>
      </c>
      <c r="R65" s="72">
        <f t="shared" si="27"/>
        <v>140331.6029732413</v>
      </c>
      <c r="S65" s="72">
        <f t="shared" si="27"/>
        <v>159475.15573285721</v>
      </c>
    </row>
    <row r="66" spans="2:21" ht="14.5" thickTop="1" x14ac:dyDescent="0.3">
      <c r="K66" s="27"/>
      <c r="L66" s="27"/>
      <c r="M66" s="27"/>
      <c r="N66" s="27"/>
      <c r="O66" s="27"/>
      <c r="P66" s="27"/>
      <c r="Q66" s="27"/>
      <c r="R66" s="27"/>
      <c r="S66" s="27"/>
    </row>
    <row r="67" spans="2:21" x14ac:dyDescent="0.3">
      <c r="B67" s="34" t="s">
        <v>23</v>
      </c>
    </row>
    <row r="68" spans="2:21" x14ac:dyDescent="0.3">
      <c r="C68" s="18" t="s">
        <v>155</v>
      </c>
      <c r="J68" s="18">
        <f>Assumptions!H83</f>
        <v>77</v>
      </c>
      <c r="K68" s="18">
        <f t="shared" ref="K68:S68" si="28">K70*K73</f>
        <v>84.076778948343332</v>
      </c>
      <c r="L68" s="18">
        <f t="shared" si="28"/>
        <v>89.145096182128114</v>
      </c>
      <c r="M68" s="18">
        <f t="shared" si="28"/>
        <v>94.310355893329117</v>
      </c>
      <c r="N68" s="18">
        <f t="shared" si="28"/>
        <v>99.568695471477113</v>
      </c>
      <c r="O68" s="18">
        <f t="shared" si="28"/>
        <v>104.91625230610295</v>
      </c>
      <c r="P68" s="18">
        <f t="shared" si="28"/>
        <v>110.34916378673734</v>
      </c>
      <c r="Q68" s="18">
        <f t="shared" si="28"/>
        <v>115.86356730291114</v>
      </c>
      <c r="R68" s="18">
        <f t="shared" si="28"/>
        <v>121.45560024415511</v>
      </c>
      <c r="S68" s="18">
        <f t="shared" si="28"/>
        <v>126.00000000000001</v>
      </c>
    </row>
    <row r="69" spans="2:21" x14ac:dyDescent="0.3">
      <c r="C69" s="18" t="s">
        <v>83</v>
      </c>
      <c r="J69" s="18">
        <f>Assumptions!H84</f>
        <v>31.038961038961038</v>
      </c>
      <c r="K69" s="18">
        <f>J69*(1+Assumptions!$H$89)</f>
        <v>32.28051948051948</v>
      </c>
      <c r="L69" s="18">
        <f>K69*(1+Assumptions!$H$89)</f>
        <v>33.57174025974026</v>
      </c>
      <c r="M69" s="18">
        <f>L69*(1+Assumptions!$H$89)</f>
        <v>34.914609870129873</v>
      </c>
      <c r="N69" s="18">
        <f>M69*(1+Assumptions!$H$89)</f>
        <v>36.311194264935068</v>
      </c>
      <c r="O69" s="18">
        <f>N69*(1+Assumptions!$H$89)</f>
        <v>37.76364203553247</v>
      </c>
      <c r="P69" s="18">
        <f>O69*(1+Assumptions!$H$89)</f>
        <v>39.274187716953769</v>
      </c>
      <c r="Q69" s="18">
        <f>P69*(1+Assumptions!$H$89)</f>
        <v>40.84515522563192</v>
      </c>
      <c r="R69" s="18">
        <f>Q69*(1+Assumptions!$H$89)</f>
        <v>42.478961434657201</v>
      </c>
      <c r="S69" s="18">
        <f>R69*(1+Assumptions!$H$89)</f>
        <v>44.17811989204349</v>
      </c>
    </row>
    <row r="70" spans="2:21" x14ac:dyDescent="0.3">
      <c r="C70" s="18" t="s">
        <v>156</v>
      </c>
      <c r="J70" s="18">
        <f>Assumptions!P80</f>
        <v>515</v>
      </c>
      <c r="K70" s="18">
        <f t="shared" ref="K70:R70" si="29">1500*(1+0.89%)*K71*K72</f>
        <v>566.33610002262947</v>
      </c>
      <c r="L70" s="18">
        <f t="shared" si="29"/>
        <v>604.78267096628178</v>
      </c>
      <c r="M70" s="18">
        <f t="shared" si="29"/>
        <v>644.44714663951106</v>
      </c>
      <c r="N70" s="18">
        <f t="shared" si="29"/>
        <v>685.32952704231707</v>
      </c>
      <c r="O70" s="18">
        <f t="shared" si="29"/>
        <v>727.42981217470003</v>
      </c>
      <c r="P70" s="18">
        <f t="shared" si="29"/>
        <v>770.74800203665961</v>
      </c>
      <c r="Q70" s="18">
        <f t="shared" si="29"/>
        <v>815.28409662819615</v>
      </c>
      <c r="R70" s="18">
        <f t="shared" si="29"/>
        <v>861.03809594930954</v>
      </c>
      <c r="S70" s="18">
        <f>Assumptions!P87</f>
        <v>900</v>
      </c>
    </row>
    <row r="71" spans="2:21" ht="14.5" hidden="1" outlineLevel="1" x14ac:dyDescent="0.35">
      <c r="C71" s="53" t="s">
        <v>80</v>
      </c>
      <c r="J71" s="30">
        <f>Assumptions!P81</f>
        <v>0.64</v>
      </c>
      <c r="K71" s="31">
        <f t="shared" ref="K71:R71" si="30">J71+($S71-$J71)/COUNT($K$6:$S$6)</f>
        <v>0.65777777777777779</v>
      </c>
      <c r="L71" s="31">
        <f t="shared" si="30"/>
        <v>0.67555555555555558</v>
      </c>
      <c r="M71" s="31">
        <f t="shared" si="30"/>
        <v>0.69333333333333336</v>
      </c>
      <c r="N71" s="31">
        <f t="shared" si="30"/>
        <v>0.71111111111111114</v>
      </c>
      <c r="O71" s="31">
        <f t="shared" si="30"/>
        <v>0.72888888888888892</v>
      </c>
      <c r="P71" s="31">
        <f t="shared" si="30"/>
        <v>0.7466666666666667</v>
      </c>
      <c r="Q71" s="31">
        <f t="shared" si="30"/>
        <v>0.76444444444444448</v>
      </c>
      <c r="R71" s="31">
        <f t="shared" si="30"/>
        <v>0.78222222222222226</v>
      </c>
      <c r="S71" s="30">
        <f>Assumptions!P85</f>
        <v>0.8</v>
      </c>
    </row>
    <row r="72" spans="2:21" ht="14.5" hidden="1" outlineLevel="1" x14ac:dyDescent="0.35">
      <c r="C72" s="53" t="s">
        <v>82</v>
      </c>
      <c r="J72" s="30">
        <f>Assumptions!P82</f>
        <v>0.54629158180583837</v>
      </c>
      <c r="K72" s="31">
        <f t="shared" ref="K72:R72" si="31">J72+($S72-$J72)/COUNT($K$6:$S$6)</f>
        <v>0.56892585049407851</v>
      </c>
      <c r="L72" s="31">
        <f t="shared" si="31"/>
        <v>0.59156011918231866</v>
      </c>
      <c r="M72" s="31">
        <f t="shared" si="31"/>
        <v>0.6141943878705588</v>
      </c>
      <c r="N72" s="31">
        <f t="shared" si="31"/>
        <v>0.63682865655879894</v>
      </c>
      <c r="O72" s="31">
        <f t="shared" si="31"/>
        <v>0.65946292524703909</v>
      </c>
      <c r="P72" s="31">
        <f t="shared" si="31"/>
        <v>0.68209719393527923</v>
      </c>
      <c r="Q72" s="31">
        <f t="shared" si="31"/>
        <v>0.70473146262351938</v>
      </c>
      <c r="R72" s="31">
        <f t="shared" si="31"/>
        <v>0.72736573131175952</v>
      </c>
      <c r="S72" s="30">
        <f>Assumptions!P86</f>
        <v>0.75</v>
      </c>
    </row>
    <row r="73" spans="2:21" collapsed="1" x14ac:dyDescent="0.3">
      <c r="C73" s="18" t="s">
        <v>157</v>
      </c>
      <c r="J73" s="31">
        <f>Assumptions!H87</f>
        <v>0.14951456310679612</v>
      </c>
      <c r="K73" s="31">
        <f t="shared" ref="K73:R73" si="32">J73+($S73-$J73)/COUNT($K$6:$S$6)</f>
        <v>0.14845738942826323</v>
      </c>
      <c r="L73" s="31">
        <f t="shared" si="32"/>
        <v>0.14740021574973033</v>
      </c>
      <c r="M73" s="31">
        <f t="shared" si="32"/>
        <v>0.14634304207119744</v>
      </c>
      <c r="N73" s="31">
        <f t="shared" si="32"/>
        <v>0.14528586839266455</v>
      </c>
      <c r="O73" s="31">
        <f t="shared" si="32"/>
        <v>0.14422869471413166</v>
      </c>
      <c r="P73" s="31">
        <f t="shared" si="32"/>
        <v>0.14317152103559877</v>
      </c>
      <c r="Q73" s="31">
        <f t="shared" si="32"/>
        <v>0.14211434735706588</v>
      </c>
      <c r="R73" s="31">
        <f t="shared" si="32"/>
        <v>0.14105717367853299</v>
      </c>
      <c r="S73" s="31">
        <f>Assumptions!H88</f>
        <v>0.14000000000000001</v>
      </c>
    </row>
    <row r="74" spans="2:21" s="34" customFormat="1" ht="14.5" thickBot="1" x14ac:dyDescent="0.35">
      <c r="C74" s="34" t="s">
        <v>158</v>
      </c>
      <c r="D74" s="58"/>
      <c r="E74" s="58"/>
      <c r="J74" s="72">
        <f>SUM('Raw Data'!B69:D69,'Raw Data'!B69)</f>
        <v>9510</v>
      </c>
      <c r="K74" s="72">
        <f>K69*K68*4</f>
        <v>10856.168402805308</v>
      </c>
      <c r="L74" s="72">
        <f t="shared" ref="L74:S74" si="33">L69*L68*4</f>
        <v>11971.024057823872</v>
      </c>
      <c r="M74" s="72">
        <f t="shared" si="33"/>
        <v>13171.237130914758</v>
      </c>
      <c r="N74" s="72">
        <f t="shared" si="33"/>
        <v>14461.832975883864</v>
      </c>
      <c r="O74" s="72">
        <f t="shared" si="33"/>
        <v>15848.079183189118</v>
      </c>
      <c r="P74" s="72">
        <f t="shared" si="33"/>
        <v>17335.495091876797</v>
      </c>
      <c r="Q74" s="72">
        <f>Q69*Q68*4</f>
        <v>18929.861565931427</v>
      </c>
      <c r="R74" s="72">
        <f t="shared" si="33"/>
        <v>20637.231035178425</v>
      </c>
      <c r="S74" s="72">
        <f t="shared" si="33"/>
        <v>22265.772425589923</v>
      </c>
    </row>
    <row r="75" spans="2:21" s="34" customFormat="1" ht="5.4" customHeight="1" thickTop="1" x14ac:dyDescent="0.3">
      <c r="D75" s="58"/>
      <c r="E75" s="58"/>
    </row>
    <row r="76" spans="2:21" x14ac:dyDescent="0.3">
      <c r="B76" s="92"/>
      <c r="C76" s="92"/>
      <c r="D76" s="93"/>
      <c r="E76" s="93"/>
      <c r="F76" s="92"/>
      <c r="G76" s="92"/>
      <c r="H76" s="92"/>
      <c r="I76" s="92"/>
      <c r="J76" s="92"/>
      <c r="K76" s="199"/>
      <c r="L76" s="199"/>
      <c r="M76" s="199"/>
      <c r="N76" s="199"/>
      <c r="O76" s="199"/>
      <c r="P76" s="199"/>
      <c r="Q76" s="199"/>
      <c r="R76" s="199"/>
      <c r="S76" s="199"/>
    </row>
    <row r="77" spans="2:21" x14ac:dyDescent="0.3">
      <c r="U77" s="36"/>
    </row>
    <row r="79" spans="2:21" ht="30" x14ac:dyDescent="0.6">
      <c r="B79" s="21" t="str">
        <f>Cover!$B$8</f>
        <v>ONE 97 COMMUNICATIONS LIMITED</v>
      </c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</row>
    <row r="80" spans="2:21" ht="19" x14ac:dyDescent="0.4">
      <c r="B80" s="44" t="s">
        <v>159</v>
      </c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22"/>
      <c r="S80" s="22"/>
    </row>
    <row r="81" spans="2:22" x14ac:dyDescent="0.3">
      <c r="C81" s="70" t="str">
        <f>"Now running : "&amp;Assumptions!$H$8</f>
        <v>Now running : Base Case Scenario</v>
      </c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</row>
    <row r="82" spans="2:22" ht="15" thickBot="1" x14ac:dyDescent="0.4">
      <c r="B82" s="46" t="s">
        <v>129</v>
      </c>
      <c r="C82" s="47"/>
      <c r="D82" s="57"/>
      <c r="E82" s="57"/>
      <c r="F82" s="47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3"/>
    </row>
    <row r="83" spans="2:22" x14ac:dyDescent="0.3">
      <c r="B83" s="3" t="s">
        <v>130</v>
      </c>
      <c r="C83" s="3"/>
      <c r="D83" s="56"/>
      <c r="E83" s="56"/>
      <c r="F83" s="3"/>
      <c r="G83" s="48">
        <v>1</v>
      </c>
      <c r="H83" s="48">
        <v>2</v>
      </c>
      <c r="I83" s="48">
        <v>3</v>
      </c>
      <c r="J83" s="48">
        <v>4</v>
      </c>
      <c r="K83" s="48">
        <v>5</v>
      </c>
      <c r="L83" s="48">
        <v>6</v>
      </c>
      <c r="M83" s="48">
        <v>7</v>
      </c>
      <c r="N83" s="48">
        <v>8</v>
      </c>
      <c r="O83" s="48">
        <v>9</v>
      </c>
      <c r="P83" s="48">
        <v>10</v>
      </c>
      <c r="Q83" s="48">
        <v>11</v>
      </c>
      <c r="R83" s="48">
        <v>12</v>
      </c>
      <c r="S83" s="48">
        <v>13</v>
      </c>
    </row>
    <row r="84" spans="2:22" x14ac:dyDescent="0.3">
      <c r="B84" s="3"/>
      <c r="C84" s="3"/>
      <c r="D84" s="56"/>
      <c r="E84" s="56"/>
      <c r="F84" s="3"/>
      <c r="G84" s="49">
        <v>45016</v>
      </c>
      <c r="H84" s="49">
        <f t="shared" ref="H84:S84" si="34">EOMONTH(G84,12)</f>
        <v>45382</v>
      </c>
      <c r="I84" s="49">
        <f t="shared" si="34"/>
        <v>45747</v>
      </c>
      <c r="J84" s="49">
        <f t="shared" si="34"/>
        <v>46112</v>
      </c>
      <c r="K84" s="49">
        <f t="shared" si="34"/>
        <v>46477</v>
      </c>
      <c r="L84" s="49">
        <f t="shared" si="34"/>
        <v>46843</v>
      </c>
      <c r="M84" s="49">
        <f t="shared" si="34"/>
        <v>47208</v>
      </c>
      <c r="N84" s="49">
        <f t="shared" si="34"/>
        <v>47573</v>
      </c>
      <c r="O84" s="49">
        <f t="shared" si="34"/>
        <v>47938</v>
      </c>
      <c r="P84" s="49">
        <f t="shared" si="34"/>
        <v>48304</v>
      </c>
      <c r="Q84" s="49">
        <f t="shared" si="34"/>
        <v>48669</v>
      </c>
      <c r="R84" s="49">
        <f t="shared" si="34"/>
        <v>49034</v>
      </c>
      <c r="S84" s="49">
        <f t="shared" si="34"/>
        <v>49399</v>
      </c>
    </row>
    <row r="85" spans="2:22" ht="14.5" x14ac:dyDescent="0.35">
      <c r="B85" s="3"/>
      <c r="C85" s="3"/>
      <c r="D85" s="56"/>
      <c r="E85" s="56"/>
      <c r="F85" s="3"/>
      <c r="G85" s="49"/>
      <c r="H85" s="49"/>
      <c r="I85" s="49"/>
      <c r="J85" s="193" t="s">
        <v>131</v>
      </c>
      <c r="K85" s="194"/>
      <c r="L85" s="194"/>
      <c r="M85" s="194"/>
      <c r="N85" s="194"/>
      <c r="O85" s="194"/>
      <c r="P85" s="194"/>
      <c r="Q85" s="194"/>
      <c r="R85" s="22"/>
      <c r="S85" s="22"/>
    </row>
    <row r="86" spans="2:22" ht="14.5" thickBot="1" x14ac:dyDescent="0.35">
      <c r="B86" s="47"/>
      <c r="C86" s="47"/>
      <c r="D86" s="57"/>
      <c r="E86" s="57"/>
      <c r="F86" s="47"/>
      <c r="G86" s="74">
        <f>YEAR(G84)</f>
        <v>2023</v>
      </c>
      <c r="H86" s="74">
        <f>YEAR(H84)</f>
        <v>2024</v>
      </c>
      <c r="I86" s="74">
        <f>YEAR(I84)</f>
        <v>2025</v>
      </c>
      <c r="J86" s="74">
        <f>YEAR(J84)</f>
        <v>2026</v>
      </c>
      <c r="K86" s="195">
        <f t="shared" ref="K86:S86" si="35">YEAR(K84)</f>
        <v>2027</v>
      </c>
      <c r="L86" s="195">
        <f t="shared" si="35"/>
        <v>2028</v>
      </c>
      <c r="M86" s="195">
        <f t="shared" si="35"/>
        <v>2029</v>
      </c>
      <c r="N86" s="195">
        <f t="shared" si="35"/>
        <v>2030</v>
      </c>
      <c r="O86" s="195">
        <f t="shared" si="35"/>
        <v>2031</v>
      </c>
      <c r="P86" s="195">
        <f t="shared" si="35"/>
        <v>2032</v>
      </c>
      <c r="Q86" s="195">
        <f t="shared" si="35"/>
        <v>2033</v>
      </c>
      <c r="R86" s="195">
        <f t="shared" si="35"/>
        <v>2034</v>
      </c>
      <c r="S86" s="195">
        <f t="shared" si="35"/>
        <v>2035</v>
      </c>
    </row>
    <row r="88" spans="2:22" x14ac:dyDescent="0.3">
      <c r="B88" s="34" t="s">
        <v>160</v>
      </c>
    </row>
    <row r="89" spans="2:22" x14ac:dyDescent="0.3">
      <c r="C89" s="18" t="s">
        <v>161</v>
      </c>
      <c r="J89" s="18">
        <f>Schedules!J13*Schedules!J14*Assumptions!$H$95</f>
        <v>25751.760624000002</v>
      </c>
      <c r="K89" s="18">
        <f>Schedules!K13*Schedules!K14*Assumptions!$H$95</f>
        <v>31070.439514718117</v>
      </c>
      <c r="L89" s="18">
        <f>Schedules!L13*Schedules!L14*Assumptions!$H$95</f>
        <v>37117.738558618737</v>
      </c>
      <c r="M89" s="18">
        <f>Schedules!M13*Schedules!M14*Assumptions!$H$95</f>
        <v>42621.244252082237</v>
      </c>
      <c r="N89" s="18">
        <f>Schedules!N13*Schedules!N14*Assumptions!$H$95</f>
        <v>48433.257745003801</v>
      </c>
      <c r="O89" s="18">
        <f>Schedules!O13*Schedules!O14*Assumptions!$H$95</f>
        <v>54182.862931559452</v>
      </c>
      <c r="P89" s="18">
        <f>Schedules!P13*Schedules!P14*Assumptions!$H$95</f>
        <v>59658.354139313335</v>
      </c>
      <c r="Q89" s="18">
        <f>Schedules!Q13*Schedules!Q14*Assumptions!$H$95</f>
        <v>65659.525887641445</v>
      </c>
      <c r="R89" s="18">
        <f>Schedules!R13*Schedules!R14*Assumptions!$H$95</f>
        <v>71480.240181534449</v>
      </c>
      <c r="S89" s="18">
        <f>Schedules!S13*Schedules!S14*Assumptions!$H$95</f>
        <v>77781.342267303</v>
      </c>
      <c r="V89" s="35"/>
    </row>
    <row r="90" spans="2:22" x14ac:dyDescent="0.3">
      <c r="C90" s="18" t="s">
        <v>162</v>
      </c>
      <c r="J90" s="18">
        <f>J68*Assumptions!$H$97</f>
        <v>2156</v>
      </c>
      <c r="K90" s="18">
        <f>K68*Assumptions!$H$97</f>
        <v>2354.1498105536134</v>
      </c>
      <c r="L90" s="18">
        <f>L68*Assumptions!$H$98</f>
        <v>2585.2077892817151</v>
      </c>
      <c r="M90" s="18">
        <f>M68*Assumptions!$H$98</f>
        <v>2735.0003209065444</v>
      </c>
      <c r="N90" s="18">
        <f>N68*Assumptions!$H$98</f>
        <v>2887.4921686728362</v>
      </c>
      <c r="O90" s="18">
        <f>O68*Assumptions!$H$98</f>
        <v>3042.5713168769853</v>
      </c>
      <c r="P90" s="18">
        <f>P68*Assumptions!$H$98</f>
        <v>3200.1257498153827</v>
      </c>
      <c r="Q90" s="18">
        <f>Q68*Assumptions!$H$98</f>
        <v>3360.0434517844228</v>
      </c>
      <c r="R90" s="18">
        <f>R68*Assumptions!$H$98</f>
        <v>3522.212407080498</v>
      </c>
      <c r="S90" s="18">
        <f>S68*Assumptions!$H$98</f>
        <v>3654.0000000000005</v>
      </c>
    </row>
    <row r="91" spans="2:22" s="34" customFormat="1" x14ac:dyDescent="0.3">
      <c r="B91" s="18"/>
      <c r="C91" s="18" t="s">
        <v>163</v>
      </c>
      <c r="D91" s="55"/>
      <c r="E91" s="55"/>
      <c r="F91" s="18"/>
      <c r="G91" s="18"/>
      <c r="H91" s="18"/>
      <c r="I91" s="18"/>
      <c r="J91" s="18">
        <f t="shared" ref="J91:S91" si="36">J92*SUM(J74,J65,J31)</f>
        <v>3981.6853173203813</v>
      </c>
      <c r="K91" s="18">
        <f t="shared" si="36"/>
        <v>5896.7193914211557</v>
      </c>
      <c r="L91" s="18">
        <f t="shared" si="36"/>
        <v>8091.643995854005</v>
      </c>
      <c r="M91" s="18">
        <f t="shared" si="36"/>
        <v>10823.3739472626</v>
      </c>
      <c r="N91" s="18">
        <f t="shared" si="36"/>
        <v>14327.229427221424</v>
      </c>
      <c r="O91" s="18">
        <f t="shared" si="36"/>
        <v>18002.331813233566</v>
      </c>
      <c r="P91" s="18">
        <f t="shared" si="36"/>
        <v>22270.117746681011</v>
      </c>
      <c r="Q91" s="18">
        <f t="shared" si="36"/>
        <v>27338.651137092798</v>
      </c>
      <c r="R91" s="18">
        <f t="shared" si="36"/>
        <v>32819.715903831631</v>
      </c>
      <c r="S91" s="18">
        <f t="shared" si="36"/>
        <v>39067.254660104052</v>
      </c>
      <c r="T91" s="18"/>
    </row>
    <row r="92" spans="2:22" s="34" customFormat="1" hidden="1" outlineLevel="1" x14ac:dyDescent="0.3">
      <c r="B92" s="18"/>
      <c r="C92" s="3" t="s">
        <v>677</v>
      </c>
      <c r="D92" s="55"/>
      <c r="E92" s="55"/>
      <c r="F92" s="18"/>
      <c r="G92" s="18"/>
      <c r="H92" s="18"/>
      <c r="I92" s="18"/>
      <c r="J92" s="31">
        <v>8.8059999999999999E-2</v>
      </c>
      <c r="K92" s="31">
        <f t="shared" ref="K92:R92" si="37">J92+($S92-$J92)/COUNT($K$6:$S$6)</f>
        <v>9.5086666666666667E-2</v>
      </c>
      <c r="L92" s="31">
        <f t="shared" si="37"/>
        <v>0.10211333333333333</v>
      </c>
      <c r="M92" s="31">
        <f t="shared" si="37"/>
        <v>0.10914</v>
      </c>
      <c r="N92" s="31">
        <f t="shared" si="37"/>
        <v>0.11616666666666667</v>
      </c>
      <c r="O92" s="31">
        <f t="shared" si="37"/>
        <v>0.12319333333333334</v>
      </c>
      <c r="P92" s="31">
        <f t="shared" si="37"/>
        <v>0.13022</v>
      </c>
      <c r="Q92" s="31">
        <f t="shared" si="37"/>
        <v>0.13724666666666666</v>
      </c>
      <c r="R92" s="31">
        <f t="shared" si="37"/>
        <v>0.14427333333333331</v>
      </c>
      <c r="S92" s="31">
        <f>Assumptions!H99</f>
        <v>0.15129999999999999</v>
      </c>
      <c r="T92" s="31"/>
    </row>
    <row r="93" spans="2:22" collapsed="1" x14ac:dyDescent="0.3">
      <c r="B93" s="34"/>
      <c r="C93" s="34" t="s">
        <v>164</v>
      </c>
      <c r="D93" s="58"/>
      <c r="E93" s="58"/>
      <c r="F93" s="34"/>
      <c r="G93" s="34"/>
      <c r="H93" s="34"/>
      <c r="I93" s="34"/>
      <c r="J93" s="65">
        <f t="shared" ref="J93:S93" si="38">SUM(J89:J91)</f>
        <v>31889.445941320384</v>
      </c>
      <c r="K93" s="65">
        <f t="shared" si="38"/>
        <v>39321.308716692882</v>
      </c>
      <c r="L93" s="65">
        <f t="shared" si="38"/>
        <v>47794.590343754462</v>
      </c>
      <c r="M93" s="65">
        <f t="shared" si="38"/>
        <v>56179.618520251388</v>
      </c>
      <c r="N93" s="65">
        <f t="shared" si="38"/>
        <v>65647.979340898062</v>
      </c>
      <c r="O93" s="65">
        <f t="shared" si="38"/>
        <v>75227.766061670001</v>
      </c>
      <c r="P93" s="65">
        <f t="shared" si="38"/>
        <v>85128.59763580974</v>
      </c>
      <c r="Q93" s="65">
        <f t="shared" si="38"/>
        <v>96358.220476518676</v>
      </c>
      <c r="R93" s="65">
        <f t="shared" si="38"/>
        <v>107822.16849244658</v>
      </c>
      <c r="S93" s="65">
        <f t="shared" si="38"/>
        <v>120502.59692740705</v>
      </c>
      <c r="T93" s="34"/>
    </row>
    <row r="94" spans="2:22" s="34" customFormat="1" x14ac:dyDescent="0.3">
      <c r="B94" s="18"/>
      <c r="C94" s="18"/>
      <c r="D94" s="55"/>
      <c r="E94" s="55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</row>
    <row r="95" spans="2:22" x14ac:dyDescent="0.3">
      <c r="B95" s="34" t="s">
        <v>165</v>
      </c>
      <c r="C95" s="34"/>
      <c r="D95" s="58"/>
      <c r="E95" s="58"/>
      <c r="F95" s="34"/>
      <c r="G95" s="34"/>
      <c r="H95" s="34"/>
      <c r="I95" s="34"/>
      <c r="J95" s="65">
        <f t="shared" ref="J95:R95" si="39">SUM(J96,J99,J102,J103)*SUM(J74,J65,J47)</f>
        <v>41885.784085803716</v>
      </c>
      <c r="K95" s="65">
        <f t="shared" si="39"/>
        <v>50885.345846392076</v>
      </c>
      <c r="L95" s="65">
        <f t="shared" si="39"/>
        <v>59767.428046174944</v>
      </c>
      <c r="M95" s="65">
        <f t="shared" si="39"/>
        <v>69474.413611084616</v>
      </c>
      <c r="N95" s="65">
        <f t="shared" si="39"/>
        <v>80562.911254623934</v>
      </c>
      <c r="O95" s="65">
        <f t="shared" si="39"/>
        <v>91600.17700704762</v>
      </c>
      <c r="P95" s="65">
        <f t="shared" si="39"/>
        <v>107800.51134094926</v>
      </c>
      <c r="Q95" s="65">
        <f t="shared" si="39"/>
        <v>123510.00388775879</v>
      </c>
      <c r="R95" s="65">
        <f t="shared" si="39"/>
        <v>139183.97638190235</v>
      </c>
      <c r="S95" s="65">
        <f>SUM(S96,S99,S102,S103)*SUM(S74,S65,S47)</f>
        <v>148352.49282605929</v>
      </c>
      <c r="T95" s="34"/>
      <c r="U95" s="27"/>
      <c r="V95" s="36"/>
    </row>
    <row r="96" spans="2:22" x14ac:dyDescent="0.3">
      <c r="B96" s="34"/>
      <c r="C96" s="18" t="s">
        <v>104</v>
      </c>
      <c r="D96" s="58"/>
      <c r="E96" s="58"/>
      <c r="F96" s="34"/>
      <c r="G96" s="34"/>
      <c r="H96" s="34"/>
      <c r="I96" s="34"/>
      <c r="J96" s="31">
        <f>Assumptions!H103</f>
        <v>3.2500000000000001E-2</v>
      </c>
      <c r="K96" s="31">
        <f>J96+($S96-$J96)/COUNT($K$6:$S$6)*K98</f>
        <v>2.763888888888889E-2</v>
      </c>
      <c r="L96" s="31">
        <f t="shared" ref="L96:R96" si="40">K96+($S96-$J96)/COUNT($K$6:$S$6)*L98</f>
        <v>2.4861111111111112E-2</v>
      </c>
      <c r="M96" s="31">
        <f t="shared" si="40"/>
        <v>2.3125E-2</v>
      </c>
      <c r="N96" s="31">
        <f t="shared" si="40"/>
        <v>2.1597222222222223E-2</v>
      </c>
      <c r="O96" s="31">
        <f t="shared" si="40"/>
        <v>2.0902777777777777E-2</v>
      </c>
      <c r="P96" s="31">
        <f t="shared" si="40"/>
        <v>2.0208333333333332E-2</v>
      </c>
      <c r="Q96" s="31">
        <f t="shared" si="40"/>
        <v>2.0194444444444442E-2</v>
      </c>
      <c r="R96" s="31">
        <f t="shared" si="40"/>
        <v>2.0180555555555552E-2</v>
      </c>
      <c r="S96" s="31">
        <f>Assumptions!H109</f>
        <v>0.02</v>
      </c>
      <c r="U96" s="27"/>
    </row>
    <row r="97" spans="2:21" ht="14.5" hidden="1" outlineLevel="1" x14ac:dyDescent="0.35">
      <c r="B97" s="34"/>
      <c r="C97" s="53" t="s">
        <v>135</v>
      </c>
      <c r="D97" s="58"/>
      <c r="E97" s="58"/>
      <c r="F97" s="34"/>
      <c r="G97" s="34"/>
      <c r="H97" s="34"/>
      <c r="I97" s="34"/>
      <c r="J97" s="188"/>
      <c r="K97" s="188">
        <v>2.5</v>
      </c>
      <c r="L97" s="27">
        <v>1</v>
      </c>
      <c r="M97" s="27">
        <v>0.25</v>
      </c>
      <c r="N97" s="27">
        <v>0.1</v>
      </c>
      <c r="O97" s="27">
        <v>-0.5</v>
      </c>
      <c r="P97" s="27">
        <v>-0.5</v>
      </c>
      <c r="Q97" s="27">
        <v>-0.99</v>
      </c>
      <c r="R97" s="27">
        <v>-0.99</v>
      </c>
      <c r="S97" s="27">
        <v>-0.99</v>
      </c>
      <c r="U97" s="27"/>
    </row>
    <row r="98" spans="2:21" ht="14.5" hidden="1" outlineLevel="1" x14ac:dyDescent="0.35">
      <c r="B98" s="34"/>
      <c r="C98" s="53" t="s">
        <v>136</v>
      </c>
      <c r="D98" s="58"/>
      <c r="E98" s="58"/>
      <c r="F98" s="34"/>
      <c r="G98" s="34"/>
      <c r="H98" s="34"/>
      <c r="I98" s="34"/>
      <c r="J98" s="188"/>
      <c r="K98" s="188">
        <f>1+K97</f>
        <v>3.5</v>
      </c>
      <c r="L98" s="27">
        <f t="shared" ref="L98:S98" si="41">L97+1</f>
        <v>2</v>
      </c>
      <c r="M98" s="27">
        <f t="shared" si="41"/>
        <v>1.25</v>
      </c>
      <c r="N98" s="27">
        <f t="shared" si="41"/>
        <v>1.1000000000000001</v>
      </c>
      <c r="O98" s="27">
        <f t="shared" si="41"/>
        <v>0.5</v>
      </c>
      <c r="P98" s="27">
        <f t="shared" si="41"/>
        <v>0.5</v>
      </c>
      <c r="Q98" s="27">
        <f t="shared" si="41"/>
        <v>1.0000000000000009E-2</v>
      </c>
      <c r="R98" s="27">
        <f t="shared" si="41"/>
        <v>1.0000000000000009E-2</v>
      </c>
      <c r="S98" s="27">
        <f t="shared" si="41"/>
        <v>1.0000000000000009E-2</v>
      </c>
      <c r="U98" s="27">
        <f>GEOMEAN(K98:S98)</f>
        <v>0.2375223751545904</v>
      </c>
    </row>
    <row r="99" spans="2:21" collapsed="1" x14ac:dyDescent="0.3">
      <c r="B99" s="34"/>
      <c r="C99" s="18" t="s">
        <v>105</v>
      </c>
      <c r="D99" s="58"/>
      <c r="E99" s="58"/>
      <c r="F99" s="34"/>
      <c r="G99" s="34"/>
      <c r="H99" s="34"/>
      <c r="I99" s="34"/>
      <c r="J99" s="31">
        <f>Assumptions!H104</f>
        <v>0.32800000000000001</v>
      </c>
      <c r="K99" s="31">
        <f>J99+($S99-$J99)/COUNT($K$6:$S$6)*K101</f>
        <v>0.30844444444444447</v>
      </c>
      <c r="L99" s="31">
        <f t="shared" ref="L99:R99" si="42">K99+($S99-$J99)/COUNT($K$6:$S$6)*L101</f>
        <v>0.29133333333333333</v>
      </c>
      <c r="M99" s="31">
        <f t="shared" si="42"/>
        <v>0.27911111111111109</v>
      </c>
      <c r="N99" s="31">
        <f t="shared" si="42"/>
        <v>0.26835555555555551</v>
      </c>
      <c r="O99" s="31">
        <f t="shared" si="42"/>
        <v>0.26346666666666663</v>
      </c>
      <c r="P99" s="31">
        <f t="shared" si="42"/>
        <v>0.25857777777777774</v>
      </c>
      <c r="Q99" s="31">
        <f t="shared" si="42"/>
        <v>0.25847999999999999</v>
      </c>
      <c r="R99" s="31">
        <f t="shared" si="42"/>
        <v>0.25838222222222224</v>
      </c>
      <c r="S99" s="31">
        <f>Assumptions!H110</f>
        <v>0.24</v>
      </c>
      <c r="U99" s="27"/>
    </row>
    <row r="100" spans="2:21" ht="14.5" hidden="1" outlineLevel="1" x14ac:dyDescent="0.35">
      <c r="B100" s="34"/>
      <c r="C100" s="53" t="s">
        <v>135</v>
      </c>
      <c r="D100" s="58"/>
      <c r="E100" s="58"/>
      <c r="F100" s="34"/>
      <c r="G100" s="34"/>
      <c r="H100" s="34"/>
      <c r="I100" s="34"/>
      <c r="J100" s="188"/>
      <c r="K100" s="188">
        <v>1</v>
      </c>
      <c r="L100" s="27">
        <v>0.75</v>
      </c>
      <c r="M100" s="27">
        <v>0.25</v>
      </c>
      <c r="N100" s="27">
        <v>0.1</v>
      </c>
      <c r="O100" s="27">
        <v>-0.5</v>
      </c>
      <c r="P100" s="27">
        <v>-0.5</v>
      </c>
      <c r="Q100" s="27">
        <v>-0.99</v>
      </c>
      <c r="R100" s="27">
        <v>-0.99</v>
      </c>
      <c r="S100" s="27">
        <v>-0.99</v>
      </c>
      <c r="U100" s="27"/>
    </row>
    <row r="101" spans="2:21" ht="14.5" hidden="1" outlineLevel="1" x14ac:dyDescent="0.35">
      <c r="B101" s="34"/>
      <c r="C101" s="53" t="s">
        <v>136</v>
      </c>
      <c r="D101" s="58"/>
      <c r="E101" s="58"/>
      <c r="F101" s="34"/>
      <c r="G101" s="34"/>
      <c r="H101" s="34"/>
      <c r="I101" s="34"/>
      <c r="J101" s="188"/>
      <c r="K101" s="188">
        <f>1+K100</f>
        <v>2</v>
      </c>
      <c r="L101" s="27">
        <f t="shared" ref="L101:S101" si="43">L100+1</f>
        <v>1.75</v>
      </c>
      <c r="M101" s="27">
        <f t="shared" si="43"/>
        <v>1.25</v>
      </c>
      <c r="N101" s="27">
        <f t="shared" si="43"/>
        <v>1.1000000000000001</v>
      </c>
      <c r="O101" s="27">
        <f t="shared" si="43"/>
        <v>0.5</v>
      </c>
      <c r="P101" s="27">
        <f t="shared" si="43"/>
        <v>0.5</v>
      </c>
      <c r="Q101" s="27">
        <f t="shared" si="43"/>
        <v>1.0000000000000009E-2</v>
      </c>
      <c r="R101" s="27">
        <f t="shared" si="43"/>
        <v>1.0000000000000009E-2</v>
      </c>
      <c r="S101" s="27">
        <f t="shared" si="43"/>
        <v>1.0000000000000009E-2</v>
      </c>
      <c r="U101" s="27">
        <f>GEOMEAN(K101:S101)</f>
        <v>0.21991596075805026</v>
      </c>
    </row>
    <row r="102" spans="2:21" collapsed="1" x14ac:dyDescent="0.3">
      <c r="B102" s="34"/>
      <c r="C102" s="18" t="s">
        <v>106</v>
      </c>
      <c r="D102" s="58"/>
      <c r="E102" s="58"/>
      <c r="F102" s="34"/>
      <c r="G102" s="34"/>
      <c r="H102" s="34"/>
      <c r="I102" s="34"/>
      <c r="J102" s="31">
        <f>Assumptions!H105</f>
        <v>7.4999999999999997E-2</v>
      </c>
      <c r="K102" s="31">
        <f t="shared" ref="K102:R102" si="44">J102+($S102-$J102)/COUNT($K$6:$S$6)</f>
        <v>7.4999999999999997E-2</v>
      </c>
      <c r="L102" s="31">
        <f t="shared" si="44"/>
        <v>7.4999999999999997E-2</v>
      </c>
      <c r="M102" s="31">
        <f t="shared" si="44"/>
        <v>7.4999999999999997E-2</v>
      </c>
      <c r="N102" s="31">
        <f t="shared" si="44"/>
        <v>7.4999999999999997E-2</v>
      </c>
      <c r="O102" s="31">
        <f t="shared" si="44"/>
        <v>7.4999999999999997E-2</v>
      </c>
      <c r="P102" s="31">
        <f t="shared" si="44"/>
        <v>7.4999999999999997E-2</v>
      </c>
      <c r="Q102" s="31">
        <f t="shared" si="44"/>
        <v>7.4999999999999997E-2</v>
      </c>
      <c r="R102" s="31">
        <f t="shared" si="44"/>
        <v>7.4999999999999997E-2</v>
      </c>
      <c r="S102" s="31">
        <f>Assumptions!H111</f>
        <v>7.4999999999999997E-2</v>
      </c>
      <c r="U102" s="27"/>
    </row>
    <row r="103" spans="2:21" x14ac:dyDescent="0.3">
      <c r="B103" s="34"/>
      <c r="C103" s="18" t="s">
        <v>107</v>
      </c>
      <c r="D103" s="58"/>
      <c r="E103" s="58"/>
      <c r="F103" s="34"/>
      <c r="G103" s="34"/>
      <c r="H103" s="34"/>
      <c r="I103" s="34"/>
      <c r="J103" s="31">
        <f>Assumptions!H106</f>
        <v>0.08</v>
      </c>
      <c r="K103" s="31">
        <f>J103+($S103-$J103)/COUNT($K$6:$S$6)*K105</f>
        <v>7.166666666666667E-2</v>
      </c>
      <c r="L103" s="31">
        <f t="shared" ref="L103:R103" si="45">K103+($S103-$J103)/COUNT($K$6:$S$6)*L105</f>
        <v>6.5000000000000002E-2</v>
      </c>
      <c r="M103" s="31">
        <f t="shared" si="45"/>
        <v>6.0833333333333336E-2</v>
      </c>
      <c r="N103" s="31">
        <f t="shared" si="45"/>
        <v>5.7166666666666671E-2</v>
      </c>
      <c r="O103" s="31">
        <f t="shared" si="45"/>
        <v>5.3833333333333337E-2</v>
      </c>
      <c r="P103" s="31">
        <f t="shared" si="45"/>
        <v>5.2166666666666674E-2</v>
      </c>
      <c r="Q103" s="31">
        <f t="shared" si="45"/>
        <v>5.2133333333333337E-2</v>
      </c>
      <c r="R103" s="31">
        <f t="shared" si="45"/>
        <v>5.21E-2</v>
      </c>
      <c r="S103" s="31">
        <f>Assumptions!H112</f>
        <v>0.05</v>
      </c>
      <c r="U103" s="27"/>
    </row>
    <row r="104" spans="2:21" ht="14.5" hidden="1" outlineLevel="1" x14ac:dyDescent="0.35">
      <c r="B104" s="34"/>
      <c r="C104" s="53" t="s">
        <v>135</v>
      </c>
      <c r="D104" s="58"/>
      <c r="E104" s="58"/>
      <c r="F104" s="34"/>
      <c r="G104" s="34"/>
      <c r="H104" s="34"/>
      <c r="I104" s="34"/>
      <c r="J104" s="188"/>
      <c r="K104" s="188">
        <v>1.5</v>
      </c>
      <c r="L104" s="27">
        <v>1</v>
      </c>
      <c r="M104" s="27">
        <v>0.25</v>
      </c>
      <c r="N104" s="27">
        <v>0.1</v>
      </c>
      <c r="O104" s="27">
        <v>0</v>
      </c>
      <c r="P104" s="27">
        <v>-0.5</v>
      </c>
      <c r="Q104" s="27">
        <v>-0.99</v>
      </c>
      <c r="R104" s="27">
        <v>-0.99</v>
      </c>
      <c r="S104" s="27">
        <v>-0.99</v>
      </c>
      <c r="U104" s="27"/>
    </row>
    <row r="105" spans="2:21" ht="14.5" hidden="1" outlineLevel="1" x14ac:dyDescent="0.35">
      <c r="B105" s="34"/>
      <c r="C105" s="53" t="s">
        <v>136</v>
      </c>
      <c r="D105" s="58"/>
      <c r="E105" s="58"/>
      <c r="F105" s="34"/>
      <c r="G105" s="34"/>
      <c r="H105" s="34"/>
      <c r="I105" s="34"/>
      <c r="J105" s="188"/>
      <c r="K105" s="188">
        <f>1+K104</f>
        <v>2.5</v>
      </c>
      <c r="L105" s="27">
        <f t="shared" ref="L105:S105" si="46">L104+1</f>
        <v>2</v>
      </c>
      <c r="M105" s="27">
        <f t="shared" si="46"/>
        <v>1.25</v>
      </c>
      <c r="N105" s="27">
        <f t="shared" si="46"/>
        <v>1.1000000000000001</v>
      </c>
      <c r="O105" s="27">
        <f t="shared" si="46"/>
        <v>1</v>
      </c>
      <c r="P105" s="27">
        <f t="shared" si="46"/>
        <v>0.5</v>
      </c>
      <c r="Q105" s="27">
        <f t="shared" si="46"/>
        <v>1.0000000000000009E-2</v>
      </c>
      <c r="R105" s="27">
        <f t="shared" si="46"/>
        <v>1.0000000000000009E-2</v>
      </c>
      <c r="S105" s="27">
        <f t="shared" si="46"/>
        <v>1.0000000000000009E-2</v>
      </c>
      <c r="U105" s="27">
        <f>GEOMEAN(K105:S105)</f>
        <v>0.24712452998107035</v>
      </c>
    </row>
    <row r="106" spans="2:21" ht="5.4" customHeight="1" collapsed="1" x14ac:dyDescent="0.3">
      <c r="K106" s="31"/>
      <c r="L106" s="31"/>
      <c r="M106" s="31"/>
      <c r="N106" s="31"/>
      <c r="O106" s="31"/>
      <c r="P106" s="31"/>
      <c r="Q106" s="31"/>
    </row>
    <row r="107" spans="2:21" x14ac:dyDescent="0.3">
      <c r="B107" s="82"/>
      <c r="C107" s="82"/>
      <c r="D107" s="91"/>
      <c r="E107" s="91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</row>
    <row r="109" spans="2:21" ht="30" x14ac:dyDescent="0.6">
      <c r="B109" s="21" t="str">
        <f>Cover!$B$8</f>
        <v>ONE 97 COMMUNICATIONS LIMITED</v>
      </c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</row>
    <row r="110" spans="2:21" ht="19" x14ac:dyDescent="0.4">
      <c r="B110" s="44" t="s">
        <v>166</v>
      </c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22"/>
      <c r="S110" s="22"/>
    </row>
    <row r="111" spans="2:21" x14ac:dyDescent="0.3">
      <c r="C111" s="70" t="str">
        <f>"Now running : "&amp;Assumptions!$H$8</f>
        <v>Now running : Base Case Scenario</v>
      </c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</row>
    <row r="112" spans="2:21" ht="15" thickBot="1" x14ac:dyDescent="0.4">
      <c r="B112" s="46" t="s">
        <v>129</v>
      </c>
      <c r="C112" s="47"/>
      <c r="D112" s="57"/>
      <c r="E112" s="57"/>
      <c r="F112" s="47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3"/>
    </row>
    <row r="113" spans="2:19" x14ac:dyDescent="0.3">
      <c r="B113" s="3" t="s">
        <v>130</v>
      </c>
      <c r="C113" s="3"/>
      <c r="D113" s="56"/>
      <c r="E113" s="56"/>
      <c r="F113" s="3"/>
      <c r="G113" s="48">
        <v>1</v>
      </c>
      <c r="H113" s="48">
        <v>2</v>
      </c>
      <c r="I113" s="48">
        <v>3</v>
      </c>
      <c r="J113" s="48">
        <v>4</v>
      </c>
      <c r="K113" s="48">
        <v>5</v>
      </c>
      <c r="L113" s="48">
        <v>6</v>
      </c>
      <c r="M113" s="48">
        <v>7</v>
      </c>
      <c r="N113" s="48">
        <v>8</v>
      </c>
      <c r="O113" s="48">
        <v>9</v>
      </c>
      <c r="P113" s="48">
        <v>10</v>
      </c>
      <c r="Q113" s="48">
        <v>11</v>
      </c>
      <c r="R113" s="48">
        <v>12</v>
      </c>
      <c r="S113" s="48">
        <v>13</v>
      </c>
    </row>
    <row r="114" spans="2:19" x14ac:dyDescent="0.3">
      <c r="B114" s="3"/>
      <c r="C114" s="3"/>
      <c r="D114" s="56"/>
      <c r="E114" s="56"/>
      <c r="F114" s="3"/>
      <c r="G114" s="49">
        <v>45016</v>
      </c>
      <c r="H114" s="49">
        <f t="shared" ref="H114:S114" si="47">EOMONTH(G114,12)</f>
        <v>45382</v>
      </c>
      <c r="I114" s="49">
        <f t="shared" si="47"/>
        <v>45747</v>
      </c>
      <c r="J114" s="49">
        <f t="shared" si="47"/>
        <v>46112</v>
      </c>
      <c r="K114" s="49">
        <f t="shared" si="47"/>
        <v>46477</v>
      </c>
      <c r="L114" s="49">
        <f t="shared" si="47"/>
        <v>46843</v>
      </c>
      <c r="M114" s="49">
        <f t="shared" si="47"/>
        <v>47208</v>
      </c>
      <c r="N114" s="49">
        <f t="shared" si="47"/>
        <v>47573</v>
      </c>
      <c r="O114" s="49">
        <f t="shared" si="47"/>
        <v>47938</v>
      </c>
      <c r="P114" s="49">
        <f t="shared" si="47"/>
        <v>48304</v>
      </c>
      <c r="Q114" s="49">
        <f t="shared" si="47"/>
        <v>48669</v>
      </c>
      <c r="R114" s="49">
        <f t="shared" si="47"/>
        <v>49034</v>
      </c>
      <c r="S114" s="49">
        <f t="shared" si="47"/>
        <v>49399</v>
      </c>
    </row>
    <row r="115" spans="2:19" ht="14.5" x14ac:dyDescent="0.35">
      <c r="B115" s="3"/>
      <c r="C115" s="3"/>
      <c r="D115" s="56"/>
      <c r="E115" s="56"/>
      <c r="F115" s="3"/>
      <c r="G115" s="49"/>
      <c r="H115" s="49"/>
      <c r="I115" s="49"/>
      <c r="J115" s="193" t="s">
        <v>131</v>
      </c>
      <c r="K115" s="194"/>
      <c r="L115" s="194"/>
      <c r="M115" s="194"/>
      <c r="N115" s="194"/>
      <c r="O115" s="194"/>
      <c r="P115" s="194"/>
      <c r="Q115" s="194"/>
      <c r="R115" s="22"/>
      <c r="S115" s="22"/>
    </row>
    <row r="116" spans="2:19" ht="14.5" thickBot="1" x14ac:dyDescent="0.35">
      <c r="B116" s="47"/>
      <c r="C116" s="47"/>
      <c r="D116" s="57"/>
      <c r="E116" s="57"/>
      <c r="F116" s="47"/>
      <c r="G116" s="74">
        <f>YEAR(G114)</f>
        <v>2023</v>
      </c>
      <c r="H116" s="74">
        <f>YEAR(H114)</f>
        <v>2024</v>
      </c>
      <c r="I116" s="74">
        <f>YEAR(I114)</f>
        <v>2025</v>
      </c>
      <c r="J116" s="74">
        <f>YEAR(J114)</f>
        <v>2026</v>
      </c>
      <c r="K116" s="195">
        <f t="shared" ref="K116:S116" si="48">YEAR(K114)</f>
        <v>2027</v>
      </c>
      <c r="L116" s="195">
        <f t="shared" si="48"/>
        <v>2028</v>
      </c>
      <c r="M116" s="195">
        <f t="shared" si="48"/>
        <v>2029</v>
      </c>
      <c r="N116" s="195">
        <f t="shared" si="48"/>
        <v>2030</v>
      </c>
      <c r="O116" s="195">
        <f t="shared" si="48"/>
        <v>2031</v>
      </c>
      <c r="P116" s="195">
        <f t="shared" si="48"/>
        <v>2032</v>
      </c>
      <c r="Q116" s="195">
        <f t="shared" si="48"/>
        <v>2033</v>
      </c>
      <c r="R116" s="195">
        <f t="shared" si="48"/>
        <v>2034</v>
      </c>
      <c r="S116" s="195">
        <f t="shared" si="48"/>
        <v>2035</v>
      </c>
    </row>
    <row r="118" spans="2:19" x14ac:dyDescent="0.3">
      <c r="B118" s="66" t="s">
        <v>167</v>
      </c>
      <c r="C118" s="67"/>
      <c r="D118" s="163"/>
      <c r="E118" s="80">
        <v>1.5</v>
      </c>
    </row>
    <row r="119" spans="2:19" x14ac:dyDescent="0.3">
      <c r="B119" s="79" t="s">
        <v>168</v>
      </c>
      <c r="C119" s="3"/>
      <c r="D119" s="164"/>
      <c r="E119" s="81">
        <f>Assumptions!P99</f>
        <v>1.51</v>
      </c>
    </row>
    <row r="120" spans="2:19" x14ac:dyDescent="0.3">
      <c r="B120" s="79" t="s">
        <v>169</v>
      </c>
      <c r="C120" s="3"/>
      <c r="D120" s="164"/>
      <c r="E120" s="81">
        <f>Assumptions!P100</f>
        <v>2.1</v>
      </c>
      <c r="G120" s="27"/>
    </row>
    <row r="121" spans="2:19" x14ac:dyDescent="0.3">
      <c r="B121" s="79" t="s">
        <v>170</v>
      </c>
      <c r="C121" s="3"/>
      <c r="D121" s="164"/>
      <c r="E121" s="81">
        <f>Assumptions!P102</f>
        <v>3.5</v>
      </c>
    </row>
    <row r="122" spans="2:19" x14ac:dyDescent="0.3">
      <c r="B122" s="83" t="s">
        <v>171</v>
      </c>
      <c r="C122" s="82"/>
      <c r="D122" s="91"/>
      <c r="E122" s="87">
        <f>1-(0.05)^(1/$E$120)</f>
        <v>0.75986143735445788</v>
      </c>
      <c r="G122" s="31"/>
    </row>
    <row r="123" spans="2:19" s="34" customFormat="1" x14ac:dyDescent="0.3">
      <c r="B123" s="3"/>
      <c r="C123" s="3"/>
      <c r="D123" s="164"/>
      <c r="E123" s="69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</row>
    <row r="124" spans="2:19" x14ac:dyDescent="0.3">
      <c r="B124" s="70" t="s">
        <v>172</v>
      </c>
      <c r="C124" s="70"/>
      <c r="D124" s="165"/>
      <c r="E124" s="73"/>
      <c r="F124" s="34"/>
      <c r="G124" s="34"/>
      <c r="H124" s="34"/>
      <c r="I124" s="34"/>
      <c r="J124" s="34">
        <f>I164</f>
        <v>6474</v>
      </c>
      <c r="K124" s="34">
        <f>J164</f>
        <v>11462.214391388125</v>
      </c>
      <c r="L124" s="34">
        <f t="shared" ref="L124:Q124" si="49">K164</f>
        <v>11041.774226467074</v>
      </c>
      <c r="M124" s="34">
        <f t="shared" si="49"/>
        <v>14049.617399076224</v>
      </c>
      <c r="N124" s="34">
        <f t="shared" si="49"/>
        <v>18080.978758731868</v>
      </c>
      <c r="O124" s="34">
        <f t="shared" si="49"/>
        <v>22652.631465885159</v>
      </c>
      <c r="P124" s="34">
        <f t="shared" si="49"/>
        <v>27489.672376309598</v>
      </c>
      <c r="Q124" s="34">
        <f t="shared" si="49"/>
        <v>32236.925795807048</v>
      </c>
      <c r="R124" s="34">
        <f>Q164</f>
        <v>52178.359915434892</v>
      </c>
      <c r="S124" s="34">
        <f>R164</f>
        <v>74832.160064696029</v>
      </c>
    </row>
    <row r="125" spans="2:19" x14ac:dyDescent="0.3">
      <c r="B125" s="70"/>
      <c r="C125" s="70"/>
      <c r="D125" s="165"/>
      <c r="E125" s="73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</row>
    <row r="126" spans="2:19" x14ac:dyDescent="0.3">
      <c r="B126" s="70"/>
      <c r="C126" s="3" t="s">
        <v>173</v>
      </c>
      <c r="D126" s="164"/>
      <c r="E126" s="69"/>
      <c r="J126" s="18">
        <f>'Raw Data'!G87</f>
        <v>5997</v>
      </c>
      <c r="K126" s="18">
        <f>J142</f>
        <v>4597.4015781824273</v>
      </c>
      <c r="L126" s="18">
        <f t="shared" ref="L126:Q126" si="50">K142</f>
        <v>5569.8754239012369</v>
      </c>
      <c r="M126" s="18">
        <f t="shared" si="50"/>
        <v>7261.3994087666188</v>
      </c>
      <c r="N126" s="18">
        <f t="shared" si="50"/>
        <v>9133.756611316021</v>
      </c>
      <c r="O126" s="18">
        <f t="shared" si="50"/>
        <v>11373.732300989617</v>
      </c>
      <c r="P126" s="18">
        <f t="shared" si="50"/>
        <v>13479.06768845125</v>
      </c>
      <c r="Q126" s="18">
        <f t="shared" si="50"/>
        <v>15619.66789713491</v>
      </c>
      <c r="R126" s="18">
        <f>Q142</f>
        <v>17980.132487509287</v>
      </c>
      <c r="S126" s="18">
        <f>R142</f>
        <v>20412.974558203023</v>
      </c>
    </row>
    <row r="127" spans="2:19" x14ac:dyDescent="0.3">
      <c r="B127" s="70"/>
      <c r="C127" s="71" t="s">
        <v>174</v>
      </c>
      <c r="D127" s="56"/>
      <c r="E127" s="69"/>
      <c r="J127" s="18">
        <f>HLOOKUP(J116,$J$9:$S$31,23,FALSE)*U129</f>
        <v>5091.8352401876446</v>
      </c>
      <c r="K127" s="18">
        <f t="shared" ref="K127:P127" si="51">VLOOKUP(K$116,$C$129:$D$138,2,FALSE)</f>
        <v>7759.920283063464</v>
      </c>
      <c r="L127" s="18">
        <f t="shared" si="51"/>
        <v>9847.1698342572927</v>
      </c>
      <c r="M127" s="18">
        <f t="shared" si="51"/>
        <v>12365.534277334946</v>
      </c>
      <c r="N127" s="18">
        <f t="shared" si="51"/>
        <v>15373.238204341256</v>
      </c>
      <c r="O127" s="18">
        <f t="shared" si="51"/>
        <v>18046.295337099335</v>
      </c>
      <c r="P127" s="18">
        <f t="shared" si="51"/>
        <v>20856.586458776477</v>
      </c>
      <c r="Q127" s="18">
        <f>VLOOKUP(Q$116,$C$129:$D$138,2,FALSE)</f>
        <v>23988.502755826488</v>
      </c>
      <c r="R127" s="18">
        <f>VLOOKUP(R$116,$C$129:$D$138,2,FALSE)</f>
        <v>27159.909273727437</v>
      </c>
      <c r="S127" s="18">
        <f>VLOOKUP(S$116,$C$129:$D$138,2,FALSE)</f>
        <v>30587.844625858557</v>
      </c>
    </row>
    <row r="128" spans="2:19" ht="14.5" x14ac:dyDescent="0.35">
      <c r="B128" s="70"/>
      <c r="C128" s="71" t="s">
        <v>175</v>
      </c>
      <c r="D128" s="56"/>
      <c r="E128" s="69"/>
      <c r="J128" s="85"/>
      <c r="K128"/>
      <c r="L128" s="85"/>
    </row>
    <row r="129" spans="2:21" x14ac:dyDescent="0.3">
      <c r="B129" s="70"/>
      <c r="C129" s="56">
        <v>2026</v>
      </c>
      <c r="D129" s="76">
        <f>HLOOKUP($C129,$J$9:$S$31,23,FALSE)*U129</f>
        <v>5091.8352401876446</v>
      </c>
      <c r="E129" s="69"/>
      <c r="J129" s="18">
        <f t="shared" ref="J129:S129" si="52">IF(J$116&lt;$C129, 0, IF(J$116=$C129, $D129*$E$122*0.5, IF(J$116=$C129+INT($E$120), $D129*(1-$E$122*0.5)*(1-$E$122)^(J$116-$C129-1), IF(J$116&gt;$C129+INT($E$120), 0, $D129*(1-$E$122*0.5)*(1-$E$122)^(J$116-$C129-1)*$E$122))))</f>
        <v>1934.5446221905324</v>
      </c>
      <c r="K129" s="18">
        <f t="shared" si="52"/>
        <v>2399.1033871370305</v>
      </c>
      <c r="L129" s="18">
        <f t="shared" si="52"/>
        <v>758.18723086008197</v>
      </c>
      <c r="M129" s="18">
        <f t="shared" si="52"/>
        <v>0</v>
      </c>
      <c r="N129" s="18">
        <f t="shared" si="52"/>
        <v>0</v>
      </c>
      <c r="O129" s="18">
        <f t="shared" si="52"/>
        <v>0</v>
      </c>
      <c r="P129" s="18">
        <f t="shared" si="52"/>
        <v>0</v>
      </c>
      <c r="Q129" s="18">
        <f t="shared" si="52"/>
        <v>0</v>
      </c>
      <c r="R129" s="18">
        <f t="shared" si="52"/>
        <v>0</v>
      </c>
      <c r="S129" s="18">
        <f t="shared" si="52"/>
        <v>0</v>
      </c>
      <c r="U129" s="31">
        <f>Assumptions!P110</f>
        <v>0.47499999999999998</v>
      </c>
    </row>
    <row r="130" spans="2:21" x14ac:dyDescent="0.3">
      <c r="B130" s="70"/>
      <c r="C130" s="56">
        <v>2027</v>
      </c>
      <c r="D130" s="77">
        <f t="shared" ref="D130:D138" si="53">HLOOKUP($C130,$J$9:$S$31,23,FALSE)*U130</f>
        <v>7759.920283063464</v>
      </c>
      <c r="E130" s="69"/>
      <c r="K130" s="18">
        <f t="shared" ref="K130:S138" si="54">IF(K$116&lt;$C130, 0, IF(K$116=$C130, $D130*$E$122*0.5, IF(K$116=$C130+INT($E$120), $D130*(1-$E$122*0.5)*(1-$E$122)^(K$116-$C130-1), IF(K$116&gt;$C130+INT($E$120), 0, $D130*(1-$E$122*0.5)*(1-$E$122)^(K$116-$C130-1)*$E$122))))</f>
        <v>2948.2320900223076</v>
      </c>
      <c r="L130" s="18">
        <f t="shared" si="54"/>
        <v>3656.2163064657275</v>
      </c>
      <c r="M130" s="18">
        <f t="shared" si="54"/>
        <v>1155.4718865754292</v>
      </c>
      <c r="N130" s="18">
        <f t="shared" si="54"/>
        <v>0</v>
      </c>
      <c r="O130" s="18">
        <f t="shared" si="54"/>
        <v>0</v>
      </c>
      <c r="P130" s="18">
        <f t="shared" si="54"/>
        <v>0</v>
      </c>
      <c r="Q130" s="18">
        <f t="shared" si="54"/>
        <v>0</v>
      </c>
      <c r="R130" s="18">
        <f t="shared" si="54"/>
        <v>0</v>
      </c>
      <c r="S130" s="18">
        <f t="shared" si="54"/>
        <v>0</v>
      </c>
      <c r="U130" s="31">
        <f t="shared" ref="U130:U137" si="55">U129+($U$138-$U$129)/9</f>
        <v>0.46666666666666667</v>
      </c>
    </row>
    <row r="131" spans="2:21" x14ac:dyDescent="0.3">
      <c r="B131" s="70"/>
      <c r="C131" s="56">
        <v>2028</v>
      </c>
      <c r="D131" s="77">
        <f t="shared" si="53"/>
        <v>9847.1698342572927</v>
      </c>
      <c r="E131" s="69"/>
      <c r="L131" s="18">
        <f t="shared" si="54"/>
        <v>3741.2423120661024</v>
      </c>
      <c r="M131" s="18">
        <f t="shared" si="54"/>
        <v>4639.6588633943411</v>
      </c>
      <c r="N131" s="18">
        <f t="shared" si="54"/>
        <v>1466.268658796849</v>
      </c>
      <c r="O131" s="18">
        <f t="shared" si="54"/>
        <v>0</v>
      </c>
      <c r="P131" s="18">
        <f t="shared" si="54"/>
        <v>0</v>
      </c>
      <c r="Q131" s="18">
        <f t="shared" si="54"/>
        <v>0</v>
      </c>
      <c r="R131" s="18">
        <f t="shared" si="54"/>
        <v>0</v>
      </c>
      <c r="S131" s="18">
        <f t="shared" si="54"/>
        <v>0</v>
      </c>
      <c r="U131" s="31">
        <f t="shared" si="55"/>
        <v>0.45833333333333337</v>
      </c>
    </row>
    <row r="132" spans="2:21" x14ac:dyDescent="0.3">
      <c r="B132" s="70"/>
      <c r="C132" s="56">
        <v>2029</v>
      </c>
      <c r="D132" s="77">
        <f t="shared" si="53"/>
        <v>12365.534277334946</v>
      </c>
      <c r="E132" s="69"/>
      <c r="M132" s="18">
        <f t="shared" si="54"/>
        <v>4698.0463248157748</v>
      </c>
      <c r="N132" s="18">
        <f t="shared" si="54"/>
        <v>5826.2284164992061</v>
      </c>
      <c r="O132" s="18">
        <f t="shared" si="54"/>
        <v>1841.2595360199643</v>
      </c>
      <c r="P132" s="18">
        <f t="shared" si="54"/>
        <v>0</v>
      </c>
      <c r="Q132" s="18">
        <f t="shared" si="54"/>
        <v>0</v>
      </c>
      <c r="R132" s="18">
        <f t="shared" si="54"/>
        <v>0</v>
      </c>
      <c r="S132" s="18">
        <f t="shared" si="54"/>
        <v>0</v>
      </c>
      <c r="U132" s="31">
        <f t="shared" si="55"/>
        <v>0.45000000000000007</v>
      </c>
    </row>
    <row r="133" spans="2:21" x14ac:dyDescent="0.3">
      <c r="B133" s="70"/>
      <c r="C133" s="56">
        <v>2030</v>
      </c>
      <c r="D133" s="77">
        <f t="shared" si="53"/>
        <v>15373.238204341256</v>
      </c>
      <c r="E133" s="69"/>
      <c r="N133" s="18">
        <f t="shared" si="54"/>
        <v>5840.7654393716057</v>
      </c>
      <c r="O133" s="18">
        <f t="shared" si="54"/>
        <v>7243.3584567320622</v>
      </c>
      <c r="P133" s="18">
        <f t="shared" si="54"/>
        <v>2289.1143082375884</v>
      </c>
      <c r="Q133" s="18">
        <f t="shared" si="54"/>
        <v>0</v>
      </c>
      <c r="R133" s="18">
        <f t="shared" si="54"/>
        <v>0</v>
      </c>
      <c r="S133" s="18">
        <f t="shared" si="54"/>
        <v>0</v>
      </c>
      <c r="U133" s="31">
        <f t="shared" si="55"/>
        <v>0.44166666666666676</v>
      </c>
    </row>
    <row r="134" spans="2:21" x14ac:dyDescent="0.3">
      <c r="B134" s="70"/>
      <c r="C134" s="56">
        <v>2031</v>
      </c>
      <c r="D134" s="77">
        <f t="shared" si="53"/>
        <v>18046.295337099335</v>
      </c>
      <c r="E134" s="69"/>
      <c r="O134" s="18">
        <f t="shared" si="54"/>
        <v>6856.3419568856752</v>
      </c>
      <c r="P134" s="18">
        <f t="shared" si="54"/>
        <v>8502.8140594185261</v>
      </c>
      <c r="Q134" s="18">
        <f t="shared" si="54"/>
        <v>2687.1393207951337</v>
      </c>
      <c r="R134" s="18">
        <f t="shared" si="54"/>
        <v>0</v>
      </c>
      <c r="S134" s="18">
        <f t="shared" si="54"/>
        <v>0</v>
      </c>
      <c r="U134" s="31">
        <f t="shared" si="55"/>
        <v>0.43333333333333346</v>
      </c>
    </row>
    <row r="135" spans="2:21" x14ac:dyDescent="0.3">
      <c r="B135" s="70"/>
      <c r="C135" s="56">
        <v>2032</v>
      </c>
      <c r="D135" s="77">
        <f t="shared" si="53"/>
        <v>20856.586458776477</v>
      </c>
      <c r="E135" s="69"/>
      <c r="P135" s="18">
        <f t="shared" si="54"/>
        <v>7924.0578824367085</v>
      </c>
      <c r="Q135" s="18">
        <f t="shared" si="54"/>
        <v>9826.9297526451373</v>
      </c>
      <c r="R135" s="18">
        <f t="shared" si="54"/>
        <v>3105.5988236946314</v>
      </c>
      <c r="S135" s="18">
        <f t="shared" si="54"/>
        <v>0</v>
      </c>
      <c r="U135" s="31">
        <f t="shared" si="55"/>
        <v>0.42500000000000016</v>
      </c>
    </row>
    <row r="136" spans="2:21" x14ac:dyDescent="0.3">
      <c r="B136" s="70"/>
      <c r="C136" s="56">
        <v>2033</v>
      </c>
      <c r="D136" s="77">
        <f t="shared" si="53"/>
        <v>23988.502755826488</v>
      </c>
      <c r="E136" s="69"/>
      <c r="Q136" s="18">
        <f>IF(Q$116&lt;$C136, 0, IF(Q$116=$C136, $D136*$E$122*0.5, IF(Q$116=$C136+INT($E$120), $D136*(1-$E$122*0.5)*(1-$E$122)^(Q$116-$C136-1), IF(Q$116&gt;$C136+INT($E$120), 0, $D136*(1-$E$122*0.5)*(1-$E$122)^(Q$116-$C136-1)*$E$122))))</f>
        <v>9113.9690920118446</v>
      </c>
      <c r="R136" s="18">
        <f t="shared" si="54"/>
        <v>11302.584529763466</v>
      </c>
      <c r="S136" s="18">
        <f t="shared" si="54"/>
        <v>3571.9491340511781</v>
      </c>
      <c r="U136" s="31">
        <f t="shared" si="55"/>
        <v>0.41666666666666685</v>
      </c>
    </row>
    <row r="137" spans="2:21" x14ac:dyDescent="0.3">
      <c r="B137" s="70"/>
      <c r="C137" s="56">
        <v>2034</v>
      </c>
      <c r="D137" s="77">
        <f t="shared" si="53"/>
        <v>27159.909273727437</v>
      </c>
      <c r="E137" s="69"/>
      <c r="R137" s="18">
        <f t="shared" si="54"/>
        <v>10318.883849575601</v>
      </c>
      <c r="S137" s="18">
        <f t="shared" si="54"/>
        <v>12796.845785318985</v>
      </c>
      <c r="U137" s="31">
        <f t="shared" si="55"/>
        <v>0.40833333333333355</v>
      </c>
    </row>
    <row r="138" spans="2:21" x14ac:dyDescent="0.3">
      <c r="B138" s="70"/>
      <c r="C138" s="56">
        <v>2035</v>
      </c>
      <c r="D138" s="78">
        <f t="shared" si="53"/>
        <v>30587.844625858557</v>
      </c>
      <c r="E138" s="69"/>
      <c r="S138" s="18">
        <f t="shared" si="54"/>
        <v>11621.261791489856</v>
      </c>
      <c r="U138" s="31">
        <f>Assumptions!P111</f>
        <v>0.4</v>
      </c>
    </row>
    <row r="139" spans="2:21" x14ac:dyDescent="0.3">
      <c r="B139" s="70"/>
      <c r="C139" s="56"/>
      <c r="D139" s="86"/>
      <c r="E139" s="69"/>
      <c r="U139" s="31"/>
    </row>
    <row r="140" spans="2:21" outlineLevel="1" x14ac:dyDescent="0.3">
      <c r="B140" s="70"/>
      <c r="C140" s="102" t="s">
        <v>176</v>
      </c>
      <c r="D140" s="86"/>
      <c r="E140" s="69"/>
      <c r="J140" s="18">
        <f>IF(J116=Assumptions!$H$7,(J126*E122),($J$126-SUM($I$140:I140)))</f>
        <v>4556.8890398146841</v>
      </c>
      <c r="K140" s="18">
        <f>IF(K116=Assumptions!$H$7,(K126*F122),($J$126-SUM($I$140:J140)))</f>
        <v>1440.1109601853159</v>
      </c>
      <c r="L140" s="18">
        <f>IF(L116=Assumptions!$H$7,(L126*G122),($J$126-SUM($I$140:K140)))</f>
        <v>0</v>
      </c>
      <c r="M140" s="18">
        <f>IF(M116=Assumptions!$H$7,(M126*H122),($J$126-SUM($I$140:L140)))</f>
        <v>0</v>
      </c>
      <c r="N140" s="18">
        <f>IF(N116=Assumptions!$H$7,(N126*I122),($J$126-SUM($I$140:M140)))</f>
        <v>0</v>
      </c>
      <c r="O140" s="18">
        <f>IF(O116=Assumptions!$H$7,(O126*J122),($J$126-SUM($I$140:N140)))</f>
        <v>0</v>
      </c>
      <c r="P140" s="18">
        <f>IF(P116=Assumptions!$H$7,(P126*K122),($J$126-SUM($I$140:O140)))</f>
        <v>0</v>
      </c>
      <c r="Q140" s="18">
        <f>IF(Q116=Assumptions!$H$7,(Q126*L122),($J$126-SUM($I$140:P140)))</f>
        <v>0</v>
      </c>
      <c r="R140" s="18">
        <f>IF(R116=Assumptions!$H$7,(R126*M122),($J$126-SUM($I$140:Q140)))</f>
        <v>0</v>
      </c>
      <c r="S140" s="18">
        <f>IF(S116=Assumptions!$H$7,(S126*N122),($J$126-SUM($I$140:R140)))</f>
        <v>0</v>
      </c>
    </row>
    <row r="141" spans="2:21" x14ac:dyDescent="0.3">
      <c r="B141" s="70"/>
      <c r="C141" s="3" t="s">
        <v>88</v>
      </c>
      <c r="D141" s="164"/>
      <c r="E141" s="69"/>
      <c r="J141" s="18">
        <f>SUM(J129:J138)+J140</f>
        <v>6491.4336620052163</v>
      </c>
      <c r="K141" s="18">
        <f t="shared" ref="K141:S141" si="56">SUM(K129:K138)+K140</f>
        <v>6787.4464373446544</v>
      </c>
      <c r="L141" s="18">
        <f t="shared" si="56"/>
        <v>8155.6458493919117</v>
      </c>
      <c r="M141" s="18">
        <f t="shared" si="56"/>
        <v>10493.177074785544</v>
      </c>
      <c r="N141" s="18">
        <f t="shared" si="56"/>
        <v>13133.262514667662</v>
      </c>
      <c r="O141" s="18">
        <f t="shared" si="56"/>
        <v>15940.959949637701</v>
      </c>
      <c r="P141" s="18">
        <f t="shared" si="56"/>
        <v>18715.986250092821</v>
      </c>
      <c r="Q141" s="18">
        <f t="shared" si="56"/>
        <v>21628.038165452115</v>
      </c>
      <c r="R141" s="18">
        <f t="shared" si="56"/>
        <v>24727.067203033701</v>
      </c>
      <c r="S141" s="18">
        <f t="shared" si="56"/>
        <v>27990.056710860019</v>
      </c>
    </row>
    <row r="142" spans="2:21" x14ac:dyDescent="0.3">
      <c r="C142" s="3" t="s">
        <v>177</v>
      </c>
      <c r="D142" s="164"/>
      <c r="E142" s="69"/>
      <c r="J142" s="18">
        <f>J126+J127-J141</f>
        <v>4597.4015781824273</v>
      </c>
      <c r="K142" s="18">
        <f t="shared" ref="K142:S142" si="57">K126+K127-K141</f>
        <v>5569.8754239012369</v>
      </c>
      <c r="L142" s="18">
        <f t="shared" si="57"/>
        <v>7261.3994087666188</v>
      </c>
      <c r="M142" s="18">
        <f t="shared" si="57"/>
        <v>9133.756611316021</v>
      </c>
      <c r="N142" s="18">
        <f t="shared" si="57"/>
        <v>11373.732300989617</v>
      </c>
      <c r="O142" s="18">
        <f t="shared" si="57"/>
        <v>13479.06768845125</v>
      </c>
      <c r="P142" s="18">
        <f t="shared" si="57"/>
        <v>15619.66789713491</v>
      </c>
      <c r="Q142" s="18">
        <f t="shared" si="57"/>
        <v>17980.132487509287</v>
      </c>
      <c r="R142" s="18">
        <f t="shared" si="57"/>
        <v>20412.974558203023</v>
      </c>
      <c r="S142" s="18">
        <f t="shared" si="57"/>
        <v>23010.762473201557</v>
      </c>
    </row>
    <row r="143" spans="2:21" x14ac:dyDescent="0.3">
      <c r="B143" s="3"/>
      <c r="C143" s="3"/>
      <c r="D143" s="56"/>
      <c r="E143" s="3"/>
    </row>
    <row r="144" spans="2:21" x14ac:dyDescent="0.3">
      <c r="B144" s="3"/>
      <c r="C144" s="3" t="s">
        <v>178</v>
      </c>
      <c r="D144" s="56"/>
      <c r="E144" s="3"/>
      <c r="J144" s="18">
        <f>SUM('Raw Data'!B87:F87)</f>
        <v>477</v>
      </c>
      <c r="K144" s="18">
        <f>J159</f>
        <v>390.81281320569667</v>
      </c>
      <c r="L144" s="18">
        <f t="shared" ref="L144:Q144" si="58">K159</f>
        <v>483.68441117771181</v>
      </c>
      <c r="M144" s="18">
        <f t="shared" si="58"/>
        <v>734.65815523065578</v>
      </c>
      <c r="N144" s="18">
        <f t="shared" si="58"/>
        <v>951.16458341857219</v>
      </c>
      <c r="O144" s="18">
        <f t="shared" si="58"/>
        <v>1193.9779701609491</v>
      </c>
      <c r="P144" s="18">
        <f t="shared" si="58"/>
        <v>1442.8944167077841</v>
      </c>
      <c r="Q144" s="18">
        <f t="shared" si="58"/>
        <v>1695.295793513106</v>
      </c>
      <c r="R144" s="18">
        <f>Q159</f>
        <v>1961.3016321185557</v>
      </c>
      <c r="S144" s="18">
        <f>R159</f>
        <v>2240.8255910581047</v>
      </c>
    </row>
    <row r="145" spans="2:20" x14ac:dyDescent="0.3">
      <c r="B145" s="3"/>
      <c r="C145" s="71" t="s">
        <v>174</v>
      </c>
      <c r="E145" s="3"/>
      <c r="J145" s="18">
        <f>VLOOKUP(J$116,$C$147:$D$154,2,FALSE)</f>
        <v>267.99132843092866</v>
      </c>
      <c r="K145" s="18">
        <f t="shared" ref="K145:P145" si="59">VLOOKUP(K$116,$C$147:$D$154,2,FALSE)</f>
        <v>408.41685700334028</v>
      </c>
      <c r="L145" s="18">
        <f t="shared" si="59"/>
        <v>518.27209653985756</v>
      </c>
      <c r="M145" s="18">
        <f t="shared" si="59"/>
        <v>650.81759354394455</v>
      </c>
      <c r="N145" s="18">
        <f t="shared" si="59"/>
        <v>809.11780022848734</v>
      </c>
      <c r="O145" s="18">
        <f t="shared" si="59"/>
        <v>949.80501774207028</v>
      </c>
      <c r="P145" s="18">
        <f t="shared" si="59"/>
        <v>1097.7150767777093</v>
      </c>
      <c r="Q145" s="18">
        <f>VLOOKUP(Q$116,$C$147:$D$156,2,FALSE)</f>
        <v>1262.5527766224468</v>
      </c>
      <c r="R145" s="18">
        <f>VLOOKUP(R$116,$C$147:$D$156,2,FALSE)</f>
        <v>1429.4689091435494</v>
      </c>
      <c r="S145" s="18">
        <f>VLOOKUP(S$116,$C$147:$D$156,2,FALSE)</f>
        <v>1609.8865592557138</v>
      </c>
    </row>
    <row r="146" spans="2:20" x14ac:dyDescent="0.3">
      <c r="B146" s="3"/>
      <c r="C146" s="71" t="s">
        <v>175</v>
      </c>
      <c r="E146" s="3"/>
    </row>
    <row r="147" spans="2:20" x14ac:dyDescent="0.3">
      <c r="B147" s="3"/>
      <c r="C147" s="56">
        <v>2026</v>
      </c>
      <c r="D147" s="166">
        <f t="shared" ref="D147:D154" si="60">(D129/0.95)*5%</f>
        <v>267.99132843092866</v>
      </c>
      <c r="E147" s="3"/>
      <c r="J147" s="18">
        <f t="shared" ref="J147:S147" si="61">IF(J$116&lt;$C147,0,IF(J$116&gt;$C147+$E$121,0,IF(J$116=$C147,$D147/$E$121/2,$D147/$E$121)))</f>
        <v>38.284475490132664</v>
      </c>
      <c r="K147" s="18">
        <f t="shared" si="61"/>
        <v>76.568950980265328</v>
      </c>
      <c r="L147" s="18">
        <f t="shared" si="61"/>
        <v>76.568950980265328</v>
      </c>
      <c r="M147" s="18">
        <f t="shared" si="61"/>
        <v>76.568950980265328</v>
      </c>
      <c r="N147" s="18">
        <f t="shared" si="61"/>
        <v>0</v>
      </c>
      <c r="O147" s="18">
        <f t="shared" si="61"/>
        <v>0</v>
      </c>
      <c r="P147" s="18">
        <f t="shared" si="61"/>
        <v>0</v>
      </c>
      <c r="Q147" s="18">
        <f t="shared" si="61"/>
        <v>0</v>
      </c>
      <c r="R147" s="18">
        <f t="shared" si="61"/>
        <v>0</v>
      </c>
      <c r="S147" s="18">
        <f t="shared" si="61"/>
        <v>0</v>
      </c>
    </row>
    <row r="148" spans="2:20" x14ac:dyDescent="0.3">
      <c r="B148" s="3"/>
      <c r="C148" s="56">
        <v>2027</v>
      </c>
      <c r="D148" s="167">
        <f t="shared" si="60"/>
        <v>408.41685700334028</v>
      </c>
      <c r="E148" s="3"/>
      <c r="K148" s="18">
        <f t="shared" ref="K148:S148" si="62">IF(K$116&lt;$C148,0,IF(K$116&gt;$C148+$E$121,0,IF(K$116=$C148,$D148/$E$121/2,$D148/$E$121)))</f>
        <v>58.34526528619147</v>
      </c>
      <c r="L148" s="18">
        <f t="shared" si="62"/>
        <v>116.69053057238294</v>
      </c>
      <c r="M148" s="18">
        <f t="shared" si="62"/>
        <v>116.69053057238294</v>
      </c>
      <c r="N148" s="18">
        <f t="shared" si="62"/>
        <v>116.69053057238294</v>
      </c>
      <c r="O148" s="18">
        <f t="shared" si="62"/>
        <v>0</v>
      </c>
      <c r="P148" s="18">
        <f t="shared" si="62"/>
        <v>0</v>
      </c>
      <c r="Q148" s="18">
        <f t="shared" si="62"/>
        <v>0</v>
      </c>
      <c r="R148" s="18">
        <f t="shared" si="62"/>
        <v>0</v>
      </c>
      <c r="S148" s="18">
        <f t="shared" si="62"/>
        <v>0</v>
      </c>
    </row>
    <row r="149" spans="2:20" x14ac:dyDescent="0.3">
      <c r="B149" s="3"/>
      <c r="C149" s="56">
        <v>2028</v>
      </c>
      <c r="D149" s="167">
        <f t="shared" si="60"/>
        <v>518.27209653985756</v>
      </c>
      <c r="E149" s="3"/>
      <c r="L149" s="18">
        <f t="shared" ref="L149:S149" si="63">IF(L$116&lt;$C149,0,IF(L$116&gt;$C149+$E$121,0,IF(L$116=$C149,$D149/$E$121/2,$D149/$E$121)))</f>
        <v>74.038870934265361</v>
      </c>
      <c r="M149" s="18">
        <f t="shared" si="63"/>
        <v>148.07774186853072</v>
      </c>
      <c r="N149" s="18">
        <f t="shared" si="63"/>
        <v>148.07774186853072</v>
      </c>
      <c r="O149" s="18">
        <f t="shared" si="63"/>
        <v>148.07774186853072</v>
      </c>
      <c r="P149" s="18">
        <f t="shared" si="63"/>
        <v>0</v>
      </c>
      <c r="Q149" s="18">
        <f t="shared" si="63"/>
        <v>0</v>
      </c>
      <c r="R149" s="18">
        <f t="shared" si="63"/>
        <v>0</v>
      </c>
      <c r="S149" s="18">
        <f t="shared" si="63"/>
        <v>0</v>
      </c>
    </row>
    <row r="150" spans="2:20" x14ac:dyDescent="0.3">
      <c r="B150" s="3"/>
      <c r="C150" s="56">
        <v>2029</v>
      </c>
      <c r="D150" s="167">
        <f t="shared" si="60"/>
        <v>650.81759354394455</v>
      </c>
      <c r="E150" s="3"/>
      <c r="M150" s="18">
        <f t="shared" ref="M150:S150" si="64">IF(M$116&lt;$C150,0,IF(M$116&gt;$C150+$E$121,0,IF(M$116=$C150,$D150/$E$121/2,$D150/$E$121)))</f>
        <v>92.973941934849222</v>
      </c>
      <c r="N150" s="18">
        <f t="shared" si="64"/>
        <v>185.94788386969844</v>
      </c>
      <c r="O150" s="18">
        <f t="shared" si="64"/>
        <v>185.94788386969844</v>
      </c>
      <c r="P150" s="18">
        <f t="shared" si="64"/>
        <v>185.94788386969844</v>
      </c>
      <c r="Q150" s="18">
        <f t="shared" si="64"/>
        <v>0</v>
      </c>
      <c r="R150" s="18">
        <f t="shared" si="64"/>
        <v>0</v>
      </c>
      <c r="S150" s="18">
        <f t="shared" si="64"/>
        <v>0</v>
      </c>
    </row>
    <row r="151" spans="2:20" x14ac:dyDescent="0.3">
      <c r="B151" s="3"/>
      <c r="C151" s="56">
        <v>2030</v>
      </c>
      <c r="D151" s="167">
        <f t="shared" si="60"/>
        <v>809.11780022848734</v>
      </c>
      <c r="E151" s="3"/>
      <c r="N151" s="18">
        <f t="shared" ref="N151:S151" si="65">IF(N$116&lt;$C151,0,IF(N$116&gt;$C151+$E$121,0,IF(N$116=$C151,$D151/$E$121/2,$D151/$E$121)))</f>
        <v>115.58825717549819</v>
      </c>
      <c r="O151" s="18">
        <f t="shared" si="65"/>
        <v>231.17651435099637</v>
      </c>
      <c r="P151" s="18">
        <f t="shared" si="65"/>
        <v>231.17651435099637</v>
      </c>
      <c r="Q151" s="18">
        <f t="shared" si="65"/>
        <v>231.17651435099637</v>
      </c>
      <c r="R151" s="18">
        <f t="shared" si="65"/>
        <v>0</v>
      </c>
      <c r="S151" s="18">
        <f t="shared" si="65"/>
        <v>0</v>
      </c>
    </row>
    <row r="152" spans="2:20" x14ac:dyDescent="0.3">
      <c r="B152" s="3"/>
      <c r="C152" s="56">
        <v>2031</v>
      </c>
      <c r="D152" s="167">
        <f t="shared" si="60"/>
        <v>949.80501774207028</v>
      </c>
      <c r="E152" s="3"/>
      <c r="O152" s="18">
        <f>IF(O$116&lt;$C152,0,IF(O$116&gt;$C152+$E$121,0,IF(O$116=$C152,$D152/$E$121/2,$D152/$E$121)))</f>
        <v>135.68643110601005</v>
      </c>
      <c r="P152" s="18">
        <f>IF(P$116&lt;$C152,0,IF(P$116&gt;$C152+$E$121,0,IF(P$116=$C152,$D152/$E$121/2,$D152/$E$121)))</f>
        <v>271.3728622120201</v>
      </c>
      <c r="Q152" s="18">
        <f>IF(Q$116&lt;$C152,0,IF(Q$116&gt;$C152+$E$121,0,IF(Q$116=$C152,$D152/$E$121/2,$D152/$E$121)))</f>
        <v>271.3728622120201</v>
      </c>
      <c r="R152" s="18">
        <f>IF(R$116&lt;$C152,0,IF(R$116&gt;$C152+$E$121,0,IF(R$116=$C152,$D152/$E$121/2,$D152/$E$121)))</f>
        <v>271.3728622120201</v>
      </c>
      <c r="S152" s="18">
        <f>IF(S$116&lt;$C152,0,IF(S$116&gt;$C152+$E$121,0,IF(S$116=$C152,$D152/$E$121/2,$D152/$E$121)))</f>
        <v>0</v>
      </c>
    </row>
    <row r="153" spans="2:20" x14ac:dyDescent="0.3">
      <c r="B153" s="3"/>
      <c r="C153" s="56">
        <v>2032</v>
      </c>
      <c r="D153" s="167">
        <f t="shared" si="60"/>
        <v>1097.7150767777093</v>
      </c>
      <c r="E153" s="3"/>
      <c r="P153" s="18">
        <f>IF(P$116&lt;$C153,0,IF(P$116&gt;$C153+$E$121,0,IF(P$116=$C153,$D153/$E$121/2,$D153/$E$121)))</f>
        <v>156.81643953967276</v>
      </c>
      <c r="Q153" s="18">
        <f>IF(Q$116&lt;$C153,0,IF(Q$116&gt;$C153+$E$121,0,IF(Q$116=$C153,$D153/$E$121/2,$D153/$E$121)))</f>
        <v>313.63287907934551</v>
      </c>
      <c r="R153" s="18">
        <f>IF(R$116&lt;$C153,0,IF(R$116&gt;$C153+$E$121,0,IF(R$116=$C153,$D153/$E$121/2,$D153/$E$121)))</f>
        <v>313.63287907934551</v>
      </c>
      <c r="S153" s="18">
        <f>IF(S$116&lt;$C153,0,IF(S$116&gt;$C153+$E$121,0,IF(S$116=$C153,$D153/$E$121/2,$D153/$E$121)))</f>
        <v>313.63287907934551</v>
      </c>
    </row>
    <row r="154" spans="2:20" x14ac:dyDescent="0.3">
      <c r="B154" s="3"/>
      <c r="C154" s="56">
        <v>2033</v>
      </c>
      <c r="D154" s="167">
        <f t="shared" si="60"/>
        <v>1262.5527766224468</v>
      </c>
      <c r="E154" s="3"/>
      <c r="Q154" s="18">
        <f>IF(Q$116&lt;$C154,0,IF(Q$116&gt;$C154+$E$121,0,IF(Q$116=$C154,$D154/$E$121/2,$D154/$E$121)))</f>
        <v>180.36468237463527</v>
      </c>
      <c r="R154" s="18">
        <f>IF(R$116&lt;$C154,0,IF(R$116&gt;$C154+$E$121,0,IF(R$116=$C154,$D154/$E$121/2,$D154/$E$121)))</f>
        <v>360.72936474927053</v>
      </c>
      <c r="S154" s="18">
        <f>IF(S$116&lt;$C154,0,IF(S$116&gt;$C154+$E$121,0,IF(S$116=$C154,$D154/$E$121/2,$D154/$E$121)))</f>
        <v>360.72936474927053</v>
      </c>
    </row>
    <row r="155" spans="2:20" x14ac:dyDescent="0.3">
      <c r="B155" s="3"/>
      <c r="C155" s="56">
        <v>2034</v>
      </c>
      <c r="D155" s="167">
        <f>(D137/0.95)*5%</f>
        <v>1429.4689091435494</v>
      </c>
      <c r="E155" s="3"/>
      <c r="R155" s="18">
        <f>IF(R$116&lt;$C155,0,IF(R$116&gt;$C155+$E$121,0,IF(R$116=$C155,$D155/$E$121/2,$D155/$E$121)))</f>
        <v>204.20984416336418</v>
      </c>
      <c r="S155" s="18">
        <f>IF(S$116&lt;$C155,0,IF(S$116&gt;$C155+$E$121,0,IF(S$116=$C155,$D155/$E$121/2,$D155/$E$121)))</f>
        <v>408.41968832672836</v>
      </c>
    </row>
    <row r="156" spans="2:20" x14ac:dyDescent="0.3">
      <c r="B156" s="3"/>
      <c r="C156" s="56">
        <v>2035</v>
      </c>
      <c r="D156" s="168">
        <f>(D138/0.95)*5%</f>
        <v>1609.8865592557138</v>
      </c>
      <c r="E156" s="3"/>
      <c r="S156" s="18">
        <f>IF(S$116&lt;$C156,0,IF(S$116&gt;$C156+$E$121,0,IF(S$116=$C156,$D156/$E$121/2,$D156/$E$121)))</f>
        <v>229.98379417938767</v>
      </c>
    </row>
    <row r="157" spans="2:20" x14ac:dyDescent="0.3">
      <c r="B157" s="3"/>
      <c r="C157" s="56"/>
      <c r="D157" s="169"/>
      <c r="E157" s="3"/>
    </row>
    <row r="158" spans="2:20" x14ac:dyDescent="0.3">
      <c r="B158" s="3"/>
      <c r="C158" s="3" t="s">
        <v>175</v>
      </c>
      <c r="E158" s="3"/>
      <c r="J158" s="18">
        <f t="shared" ref="J158:R158" si="66">IF(J$116-$C$147&gt;$E$119,0,IF(J$116=$C$147,$J$144/$E$119,($E$119-1)*I158))+SUM(J147:J156)</f>
        <v>354.17851522523199</v>
      </c>
      <c r="K158" s="18">
        <f t="shared" si="66"/>
        <v>315.54525903132514</v>
      </c>
      <c r="L158" s="18">
        <f t="shared" si="66"/>
        <v>267.29835248691359</v>
      </c>
      <c r="M158" s="18">
        <f t="shared" si="66"/>
        <v>434.3111653560282</v>
      </c>
      <c r="N158" s="18">
        <f t="shared" si="66"/>
        <v>566.30441348611032</v>
      </c>
      <c r="O158" s="18">
        <f t="shared" si="66"/>
        <v>700.8885711952355</v>
      </c>
      <c r="P158" s="18">
        <f t="shared" si="66"/>
        <v>845.31369997238767</v>
      </c>
      <c r="Q158" s="18">
        <f t="shared" si="66"/>
        <v>996.54693801699727</v>
      </c>
      <c r="R158" s="18">
        <f t="shared" si="66"/>
        <v>1149.9449502040004</v>
      </c>
      <c r="S158" s="18">
        <f>IF(S$116-$C$147&gt;$E$119,0,IF(S$116=$C$147,$J$144/$E$119,($E$119-1)*R158))+SUM(S147:S156)</f>
        <v>1312.7657263347321</v>
      </c>
    </row>
    <row r="159" spans="2:20" x14ac:dyDescent="0.3">
      <c r="B159" s="3"/>
      <c r="C159" s="3" t="s">
        <v>179</v>
      </c>
      <c r="D159" s="56"/>
      <c r="E159" s="3"/>
      <c r="J159" s="18">
        <f>J144+J145-J158</f>
        <v>390.81281320569667</v>
      </c>
      <c r="K159" s="18">
        <f t="shared" ref="K159:R159" si="67">K144+K145-K158</f>
        <v>483.68441117771181</v>
      </c>
      <c r="L159" s="18">
        <f t="shared" si="67"/>
        <v>734.65815523065578</v>
      </c>
      <c r="M159" s="18">
        <f t="shared" si="67"/>
        <v>951.16458341857219</v>
      </c>
      <c r="N159" s="18">
        <f t="shared" si="67"/>
        <v>1193.9779701609491</v>
      </c>
      <c r="O159" s="18">
        <f t="shared" si="67"/>
        <v>1442.8944167077841</v>
      </c>
      <c r="P159" s="18">
        <f t="shared" si="67"/>
        <v>1695.295793513106</v>
      </c>
      <c r="Q159" s="18">
        <f t="shared" si="67"/>
        <v>1961.3016321185557</v>
      </c>
      <c r="R159" s="18">
        <f t="shared" si="67"/>
        <v>2240.8255910581047</v>
      </c>
      <c r="S159" s="18">
        <f>S144+S145-S158</f>
        <v>2537.9464239790868</v>
      </c>
    </row>
    <row r="160" spans="2:20" x14ac:dyDescent="0.3">
      <c r="B160" s="3"/>
      <c r="C160" s="3"/>
      <c r="D160" s="56"/>
      <c r="E160" s="3"/>
      <c r="R160" s="34"/>
      <c r="S160" s="34"/>
      <c r="T160" s="34"/>
    </row>
    <row r="161" spans="2:20" x14ac:dyDescent="0.3">
      <c r="B161" s="70"/>
      <c r="D161" s="170"/>
      <c r="E161" s="70"/>
      <c r="F161" s="34"/>
      <c r="G161" s="34"/>
      <c r="H161" s="34"/>
      <c r="I161" s="34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34"/>
    </row>
    <row r="162" spans="2:20" x14ac:dyDescent="0.3">
      <c r="B162" s="70"/>
      <c r="C162" s="70" t="s">
        <v>180</v>
      </c>
      <c r="D162" s="170"/>
      <c r="E162" s="70"/>
      <c r="F162" s="34"/>
      <c r="G162" s="34"/>
      <c r="H162" s="34"/>
      <c r="I162" s="34"/>
      <c r="J162" s="34">
        <f>J158+J141</f>
        <v>6845.6121772304487</v>
      </c>
      <c r="K162" s="34">
        <f t="shared" ref="K162:S162" si="68">K158+K141</f>
        <v>7102.9916963759797</v>
      </c>
      <c r="L162" s="34">
        <f t="shared" si="68"/>
        <v>8422.944201878825</v>
      </c>
      <c r="M162" s="34">
        <f t="shared" si="68"/>
        <v>10927.488240141573</v>
      </c>
      <c r="N162" s="34">
        <f t="shared" si="68"/>
        <v>13699.566928153772</v>
      </c>
      <c r="O162" s="34">
        <f t="shared" si="68"/>
        <v>16641.848520832937</v>
      </c>
      <c r="P162" s="34">
        <f t="shared" si="68"/>
        <v>19561.299950065208</v>
      </c>
      <c r="Q162" s="34">
        <f t="shared" si="68"/>
        <v>22624.585103469111</v>
      </c>
      <c r="R162" s="34">
        <f t="shared" si="68"/>
        <v>25877.012153237702</v>
      </c>
      <c r="S162" s="34">
        <f t="shared" si="68"/>
        <v>29302.822437194751</v>
      </c>
      <c r="T162" s="34"/>
    </row>
    <row r="163" spans="2:20" x14ac:dyDescent="0.3">
      <c r="B163" s="70"/>
      <c r="C163" s="70"/>
      <c r="D163" s="170"/>
      <c r="E163" s="70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</row>
    <row r="164" spans="2:20" x14ac:dyDescent="0.3">
      <c r="B164" s="70" t="s">
        <v>181</v>
      </c>
      <c r="C164" s="70"/>
      <c r="D164" s="170"/>
      <c r="E164" s="70"/>
      <c r="F164" s="34"/>
      <c r="G164" s="34"/>
      <c r="H164" s="34"/>
      <c r="I164" s="34">
        <f>SUM('Raw Data'!B87:G87)</f>
        <v>6474</v>
      </c>
      <c r="J164" s="34">
        <f>J126+J142+J159+J144</f>
        <v>11462.214391388125</v>
      </c>
      <c r="K164" s="34">
        <f t="shared" ref="K164:P164" si="69">K126+K142+K159+K144</f>
        <v>11041.774226467074</v>
      </c>
      <c r="L164" s="34">
        <f t="shared" si="69"/>
        <v>14049.617399076224</v>
      </c>
      <c r="M164" s="34">
        <f t="shared" si="69"/>
        <v>18080.978758731868</v>
      </c>
      <c r="N164" s="34">
        <f t="shared" si="69"/>
        <v>22652.631465885159</v>
      </c>
      <c r="O164" s="34">
        <f t="shared" si="69"/>
        <v>27489.672376309598</v>
      </c>
      <c r="P164" s="34">
        <f t="shared" si="69"/>
        <v>32236.925795807048</v>
      </c>
      <c r="Q164" s="34">
        <f>Q124+Q142+Q159</f>
        <v>52178.359915434892</v>
      </c>
      <c r="R164" s="34">
        <f>R124+R142+R159</f>
        <v>74832.160064696029</v>
      </c>
      <c r="S164" s="34">
        <f>S124+S142+S159</f>
        <v>100380.86896187667</v>
      </c>
    </row>
    <row r="166" spans="2:20" x14ac:dyDescent="0.3">
      <c r="C166" s="3" t="s">
        <v>182</v>
      </c>
      <c r="E166" s="3"/>
      <c r="F166" s="3"/>
      <c r="J166" s="18">
        <f>I169</f>
        <v>2117</v>
      </c>
      <c r="K166" s="18">
        <f t="shared" ref="K166:Q166" si="70">J169</f>
        <v>2275.0765361833251</v>
      </c>
      <c r="L166" s="18">
        <f t="shared" si="70"/>
        <v>2834.3147965721578</v>
      </c>
      <c r="M166" s="18">
        <f t="shared" si="70"/>
        <v>3377.2537849442388</v>
      </c>
      <c r="N166" s="18">
        <f t="shared" si="70"/>
        <v>3911.9675249698148</v>
      </c>
      <c r="O166" s="18">
        <f t="shared" si="70"/>
        <v>4495.6803104183255</v>
      </c>
      <c r="P166" s="18">
        <f t="shared" si="70"/>
        <v>4975.5816832051814</v>
      </c>
      <c r="Q166" s="18">
        <f t="shared" si="70"/>
        <v>5665.0740720193944</v>
      </c>
      <c r="R166" s="18">
        <f>Q169</f>
        <v>6154.7722740012987</v>
      </c>
      <c r="S166" s="18">
        <f>R169</f>
        <v>6557.090558185344</v>
      </c>
    </row>
    <row r="167" spans="2:20" x14ac:dyDescent="0.3">
      <c r="C167" s="3" t="s">
        <v>183</v>
      </c>
      <c r="E167" s="3"/>
      <c r="F167" s="3"/>
      <c r="J167" s="18">
        <f>J169+J168-J166</f>
        <v>513.73253618332501</v>
      </c>
      <c r="K167" s="18">
        <f t="shared" ref="K167:S167" si="71">K169+K168-K166</f>
        <v>941.4511184676312</v>
      </c>
      <c r="L167" s="18">
        <f t="shared" si="71"/>
        <v>1019.1038741962034</v>
      </c>
      <c r="M167" s="18">
        <f t="shared" si="71"/>
        <v>1102.0923758962081</v>
      </c>
      <c r="N167" s="18">
        <f t="shared" si="71"/>
        <v>1240.9233296434395</v>
      </c>
      <c r="O167" s="18">
        <f t="shared" si="71"/>
        <v>1235.1756649371346</v>
      </c>
      <c r="P167" s="18">
        <f t="shared" si="71"/>
        <v>1525.3901115926838</v>
      </c>
      <c r="Q167" s="18">
        <f>Q169+Q168-Q166</f>
        <v>1441.4306460811631</v>
      </c>
      <c r="R167" s="18">
        <f t="shared" si="71"/>
        <v>1436.3200262162636</v>
      </c>
      <c r="S167" s="18">
        <f t="shared" si="71"/>
        <v>1480.477559145811</v>
      </c>
    </row>
    <row r="168" spans="2:20" x14ac:dyDescent="0.3">
      <c r="C168" s="3" t="s">
        <v>184</v>
      </c>
      <c r="E168" s="3"/>
      <c r="F168" s="3"/>
      <c r="J168" s="18">
        <f>J166*Assumptions!$P$97</f>
        <v>355.65600000000001</v>
      </c>
      <c r="K168" s="18">
        <f>K166*Assumptions!$P$97</f>
        <v>382.21285807879866</v>
      </c>
      <c r="L168" s="18">
        <f>L166*Assumptions!$P$97</f>
        <v>476.16488582412256</v>
      </c>
      <c r="M168" s="18">
        <f>M166*Assumptions!$P$97</f>
        <v>567.37863587063214</v>
      </c>
      <c r="N168" s="18">
        <f>N166*Assumptions!$P$97</f>
        <v>657.21054419492896</v>
      </c>
      <c r="O168" s="18">
        <f>O166*Assumptions!$P$97</f>
        <v>755.27429215027871</v>
      </c>
      <c r="P168" s="18">
        <f>P166*Assumptions!$P$97</f>
        <v>835.89772277847055</v>
      </c>
      <c r="Q168" s="18">
        <f>Q166*Assumptions!$P$97</f>
        <v>951.73244409925837</v>
      </c>
      <c r="R168" s="18">
        <f>R166*Assumptions!$P$97</f>
        <v>1034.0017420322183</v>
      </c>
      <c r="S168" s="18">
        <f>S166*Assumptions!$P$97</f>
        <v>1101.5912137751379</v>
      </c>
    </row>
    <row r="169" spans="2:20" x14ac:dyDescent="0.3">
      <c r="C169" s="70" t="s">
        <v>185</v>
      </c>
      <c r="E169" s="70"/>
      <c r="F169" s="70"/>
      <c r="G169" s="34"/>
      <c r="H169" s="34"/>
      <c r="I169" s="34">
        <f>SUM('Raw Data'!B106:C106)</f>
        <v>2117</v>
      </c>
      <c r="J169" s="34">
        <f>J170*SUM(Schedules!J74,Schedules!J58:J61,Schedules!J56,Schedules!J19,Schedules!J43,Schedules!J31)</f>
        <v>2275.0765361833251</v>
      </c>
      <c r="K169" s="34">
        <f>K170*SUM(Schedules!K74,Schedules!K58:K61,Schedules!K56,Schedules!K19,Schedules!K43,Schedules!K31)</f>
        <v>2834.3147965721578</v>
      </c>
      <c r="L169" s="34">
        <f>L170*SUM(Schedules!L74,Schedules!L58:L61,Schedules!L56,Schedules!L19,Schedules!L43,Schedules!L31)</f>
        <v>3377.2537849442388</v>
      </c>
      <c r="M169" s="34">
        <f>M170*SUM(Schedules!M74,Schedules!M58:M61,Schedules!M56,Schedules!M19,Schedules!M43,Schedules!M31)</f>
        <v>3911.9675249698148</v>
      </c>
      <c r="N169" s="34">
        <f>N170*SUM(Schedules!N74,Schedules!N58:N61,Schedules!N56,Schedules!N19,Schedules!N43,Schedules!N31)</f>
        <v>4495.6803104183255</v>
      </c>
      <c r="O169" s="34">
        <f>O170*SUM(Schedules!O74,Schedules!O58:O61,Schedules!O56,Schedules!O19,Schedules!O43,Schedules!O31)</f>
        <v>4975.5816832051814</v>
      </c>
      <c r="P169" s="34">
        <f>P170*SUM(Schedules!P74,Schedules!P58:P61,Schedules!P56,Schedules!P19,Schedules!P43,Schedules!P31)</f>
        <v>5665.0740720193944</v>
      </c>
      <c r="Q169" s="34">
        <f>Q170*SUM(Schedules!Q74,Schedules!Q58:Q61,Schedules!Q56,Schedules!Q19,Schedules!Q43,Schedules!Q31)</f>
        <v>6154.7722740012987</v>
      </c>
      <c r="R169" s="34">
        <f>R170*SUM(Schedules!R74,Schedules!R58:R61,Schedules!R56,Schedules!R19,Schedules!R43,Schedules!R31)</f>
        <v>6557.090558185344</v>
      </c>
      <c r="S169" s="34">
        <f>S170*SUM(Schedules!S74,Schedules!S58:S61,Schedules!S56,Schedules!S19,Schedules!S43,Schedules!S31)</f>
        <v>6935.9769035560166</v>
      </c>
    </row>
    <row r="170" spans="2:20" outlineLevel="1" x14ac:dyDescent="0.3">
      <c r="C170" s="3"/>
      <c r="D170" s="56"/>
      <c r="E170" s="3"/>
      <c r="F170" s="3"/>
      <c r="J170" s="31">
        <v>2.8000000000000001E-2</v>
      </c>
      <c r="K170" s="31">
        <f t="shared" ref="K170:R170" si="72">J170+($S170-$J170)/COUNT($K$6:$S$6)</f>
        <v>2.6888888888888889E-2</v>
      </c>
      <c r="L170" s="31">
        <f t="shared" si="72"/>
        <v>2.5777777777777778E-2</v>
      </c>
      <c r="M170" s="31">
        <f t="shared" si="72"/>
        <v>2.4666666666666667E-2</v>
      </c>
      <c r="N170" s="31">
        <f t="shared" si="72"/>
        <v>2.3555555555555555E-2</v>
      </c>
      <c r="O170" s="31">
        <f t="shared" si="72"/>
        <v>2.2444444444444444E-2</v>
      </c>
      <c r="P170" s="31">
        <f t="shared" si="72"/>
        <v>2.1333333333333333E-2</v>
      </c>
      <c r="Q170" s="31">
        <f t="shared" si="72"/>
        <v>2.0222222222222221E-2</v>
      </c>
      <c r="R170" s="31">
        <f t="shared" si="72"/>
        <v>1.911111111111111E-2</v>
      </c>
      <c r="S170" s="31">
        <v>1.7999999999999999E-2</v>
      </c>
    </row>
    <row r="171" spans="2:20" x14ac:dyDescent="0.3">
      <c r="C171" s="3"/>
      <c r="D171" s="56"/>
      <c r="E171" s="3"/>
      <c r="F171" s="3"/>
      <c r="J171" s="31"/>
      <c r="K171" s="31"/>
      <c r="L171" s="31"/>
      <c r="M171" s="31"/>
      <c r="N171" s="31"/>
      <c r="O171" s="31"/>
      <c r="P171" s="31"/>
      <c r="Q171" s="31"/>
    </row>
    <row r="172" spans="2:20" x14ac:dyDescent="0.3">
      <c r="C172" s="66" t="s">
        <v>186</v>
      </c>
      <c r="D172" s="171"/>
      <c r="E172" s="68">
        <f>Assumptions!P105</f>
        <v>1.36</v>
      </c>
      <c r="F172" s="69"/>
    </row>
    <row r="173" spans="2:20" x14ac:dyDescent="0.3">
      <c r="C173" s="67"/>
      <c r="D173" s="171"/>
      <c r="E173" s="67"/>
      <c r="F173" s="3"/>
    </row>
    <row r="174" spans="2:20" x14ac:dyDescent="0.3">
      <c r="C174" s="3" t="s">
        <v>187</v>
      </c>
      <c r="E174" s="3"/>
      <c r="F174" s="3"/>
      <c r="J174" s="18">
        <f>I176</f>
        <v>177</v>
      </c>
      <c r="K174" s="18">
        <f>J176</f>
        <v>46.852941176470608</v>
      </c>
      <c r="L174" s="18">
        <f t="shared" ref="L174:Q174" si="73">K176</f>
        <v>0</v>
      </c>
      <c r="M174" s="18">
        <f t="shared" si="73"/>
        <v>0</v>
      </c>
      <c r="N174" s="18">
        <f t="shared" si="73"/>
        <v>0</v>
      </c>
      <c r="O174" s="18">
        <f t="shared" si="73"/>
        <v>0</v>
      </c>
      <c r="P174" s="18">
        <f t="shared" si="73"/>
        <v>0</v>
      </c>
      <c r="Q174" s="18">
        <f t="shared" si="73"/>
        <v>0</v>
      </c>
      <c r="R174" s="18">
        <f>Q176</f>
        <v>0</v>
      </c>
      <c r="S174" s="18">
        <f>R176</f>
        <v>0</v>
      </c>
    </row>
    <row r="175" spans="2:20" x14ac:dyDescent="0.3">
      <c r="C175" s="3" t="s">
        <v>188</v>
      </c>
      <c r="E175" s="3"/>
      <c r="F175" s="3"/>
      <c r="J175" s="18">
        <f>MIN($J$174/$E$172,J174)</f>
        <v>130.14705882352939</v>
      </c>
      <c r="K175" s="18">
        <f>MIN($J$174/$E$172,K174)</f>
        <v>46.852941176470608</v>
      </c>
      <c r="L175" s="18">
        <f t="shared" ref="L175:S175" si="74">MIN($J$174/$E$172,L174)</f>
        <v>0</v>
      </c>
      <c r="M175" s="18">
        <f t="shared" si="74"/>
        <v>0</v>
      </c>
      <c r="N175" s="18">
        <f t="shared" si="74"/>
        <v>0</v>
      </c>
      <c r="O175" s="18">
        <f t="shared" si="74"/>
        <v>0</v>
      </c>
      <c r="P175" s="18">
        <f t="shared" si="74"/>
        <v>0</v>
      </c>
      <c r="Q175" s="18">
        <f t="shared" si="74"/>
        <v>0</v>
      </c>
      <c r="R175" s="18">
        <f t="shared" si="74"/>
        <v>0</v>
      </c>
      <c r="S175" s="18">
        <f t="shared" si="74"/>
        <v>0</v>
      </c>
    </row>
    <row r="176" spans="2:20" x14ac:dyDescent="0.3">
      <c r="C176" s="70" t="s">
        <v>189</v>
      </c>
      <c r="E176" s="70"/>
      <c r="F176" s="70"/>
      <c r="G176" s="34"/>
      <c r="H176" s="34"/>
      <c r="I176" s="34">
        <f>SUM('Raw Data'!F105:G105)</f>
        <v>177</v>
      </c>
      <c r="J176" s="34">
        <f>J174-J175</f>
        <v>46.852941176470608</v>
      </c>
      <c r="K176" s="34">
        <f t="shared" ref="K176:S176" si="75">K174-K175</f>
        <v>0</v>
      </c>
      <c r="L176" s="34">
        <f t="shared" si="75"/>
        <v>0</v>
      </c>
      <c r="M176" s="34">
        <f t="shared" si="75"/>
        <v>0</v>
      </c>
      <c r="N176" s="34">
        <f t="shared" si="75"/>
        <v>0</v>
      </c>
      <c r="O176" s="34">
        <f t="shared" si="75"/>
        <v>0</v>
      </c>
      <c r="P176" s="34">
        <f t="shared" si="75"/>
        <v>0</v>
      </c>
      <c r="Q176" s="34">
        <f t="shared" si="75"/>
        <v>0</v>
      </c>
      <c r="R176" s="34">
        <f t="shared" si="75"/>
        <v>0</v>
      </c>
      <c r="S176" s="34">
        <f t="shared" si="75"/>
        <v>0</v>
      </c>
    </row>
    <row r="177" spans="2:20" x14ac:dyDescent="0.3">
      <c r="C177" s="3"/>
      <c r="E177" s="3"/>
      <c r="F177" s="3"/>
    </row>
    <row r="178" spans="2:20" ht="14.5" thickBot="1" x14ac:dyDescent="0.35">
      <c r="C178" s="70" t="s">
        <v>190</v>
      </c>
      <c r="E178" s="70"/>
      <c r="F178" s="70"/>
      <c r="G178" s="34"/>
      <c r="H178" s="34"/>
      <c r="I178" s="34"/>
      <c r="J178" s="72">
        <f>J168+J175+J141</f>
        <v>6977.236720828746</v>
      </c>
      <c r="K178" s="72">
        <f t="shared" ref="K178:S178" si="76">K168+K175+K141</f>
        <v>7216.5122365999241</v>
      </c>
      <c r="L178" s="72">
        <f t="shared" si="76"/>
        <v>8631.810735216035</v>
      </c>
      <c r="M178" s="72">
        <f t="shared" si="76"/>
        <v>11060.555710656177</v>
      </c>
      <c r="N178" s="72">
        <f t="shared" si="76"/>
        <v>13790.473058862592</v>
      </c>
      <c r="O178" s="72">
        <f t="shared" si="76"/>
        <v>16696.234241787981</v>
      </c>
      <c r="P178" s="72">
        <f t="shared" si="76"/>
        <v>19551.883972871292</v>
      </c>
      <c r="Q178" s="72">
        <f t="shared" si="76"/>
        <v>22579.770609551375</v>
      </c>
      <c r="R178" s="72">
        <f t="shared" si="76"/>
        <v>25761.068945065919</v>
      </c>
      <c r="S178" s="72">
        <f t="shared" si="76"/>
        <v>29091.647924635156</v>
      </c>
    </row>
    <row r="179" spans="2:20" ht="5.4" customHeight="1" thickTop="1" x14ac:dyDescent="0.3">
      <c r="C179" s="70"/>
      <c r="E179" s="70"/>
      <c r="F179" s="70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1"/>
      <c r="S179" s="31"/>
      <c r="T179" s="31"/>
    </row>
    <row r="180" spans="2:20" x14ac:dyDescent="0.3">
      <c r="B180" s="90"/>
      <c r="C180" s="90"/>
      <c r="D180" s="172"/>
      <c r="E180" s="90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</row>
    <row r="181" spans="2:20" x14ac:dyDescent="0.3">
      <c r="E181" s="18"/>
      <c r="F181" s="55"/>
      <c r="T181" s="22"/>
    </row>
    <row r="182" spans="2:20" ht="30" x14ac:dyDescent="0.6">
      <c r="B182" s="22"/>
      <c r="C182" s="21" t="str">
        <f>Cover!$B$8</f>
        <v>ONE 97 COMMUNICATIONS LIMITED</v>
      </c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45"/>
      <c r="S182" s="45"/>
      <c r="T182" s="45"/>
    </row>
    <row r="183" spans="2:20" ht="19" x14ac:dyDescent="0.4">
      <c r="B183" s="22"/>
      <c r="C183" s="44" t="s">
        <v>191</v>
      </c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3"/>
    </row>
    <row r="184" spans="2:20" x14ac:dyDescent="0.3">
      <c r="C184" s="70" t="str">
        <f>"Now running : "&amp;Assumptions!$H$8</f>
        <v>Now running : Base Case Scenario</v>
      </c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3"/>
      <c r="S184" s="3"/>
      <c r="T184" s="3"/>
    </row>
    <row r="185" spans="2:20" ht="15" thickBot="1" x14ac:dyDescent="0.4">
      <c r="B185" s="46" t="s">
        <v>129</v>
      </c>
      <c r="C185" s="47"/>
      <c r="D185" s="57"/>
      <c r="E185" s="57"/>
      <c r="F185" s="47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3"/>
    </row>
    <row r="186" spans="2:20" x14ac:dyDescent="0.3">
      <c r="B186" s="3" t="s">
        <v>130</v>
      </c>
      <c r="C186" s="3"/>
      <c r="D186" s="56"/>
      <c r="E186" s="56"/>
      <c r="F186" s="3"/>
      <c r="G186" s="48">
        <v>1</v>
      </c>
      <c r="H186" s="48">
        <v>2</v>
      </c>
      <c r="I186" s="48">
        <v>3</v>
      </c>
      <c r="J186" s="48">
        <v>4</v>
      </c>
      <c r="K186" s="48">
        <v>5</v>
      </c>
      <c r="L186" s="48">
        <v>6</v>
      </c>
      <c r="M186" s="48">
        <v>7</v>
      </c>
      <c r="N186" s="48">
        <v>8</v>
      </c>
      <c r="O186" s="48">
        <v>9</v>
      </c>
      <c r="P186" s="48">
        <v>10</v>
      </c>
      <c r="Q186" s="48">
        <v>11</v>
      </c>
      <c r="R186" s="48">
        <v>12</v>
      </c>
      <c r="S186" s="48">
        <v>13</v>
      </c>
    </row>
    <row r="187" spans="2:20" x14ac:dyDescent="0.3">
      <c r="B187" s="3"/>
      <c r="C187" s="3"/>
      <c r="D187" s="56"/>
      <c r="E187" s="56"/>
      <c r="F187" s="3"/>
      <c r="G187" s="49">
        <v>45016</v>
      </c>
      <c r="H187" s="49">
        <f t="shared" ref="H187:S187" si="77">EOMONTH(G187,12)</f>
        <v>45382</v>
      </c>
      <c r="I187" s="49">
        <f t="shared" si="77"/>
        <v>45747</v>
      </c>
      <c r="J187" s="49">
        <f t="shared" si="77"/>
        <v>46112</v>
      </c>
      <c r="K187" s="49">
        <f t="shared" si="77"/>
        <v>46477</v>
      </c>
      <c r="L187" s="49">
        <f t="shared" si="77"/>
        <v>46843</v>
      </c>
      <c r="M187" s="49">
        <f t="shared" si="77"/>
        <v>47208</v>
      </c>
      <c r="N187" s="49">
        <f t="shared" si="77"/>
        <v>47573</v>
      </c>
      <c r="O187" s="49">
        <f t="shared" si="77"/>
        <v>47938</v>
      </c>
      <c r="P187" s="49">
        <f t="shared" si="77"/>
        <v>48304</v>
      </c>
      <c r="Q187" s="49">
        <f t="shared" si="77"/>
        <v>48669</v>
      </c>
      <c r="R187" s="49">
        <f t="shared" si="77"/>
        <v>49034</v>
      </c>
      <c r="S187" s="49">
        <f t="shared" si="77"/>
        <v>49399</v>
      </c>
    </row>
    <row r="188" spans="2:20" ht="14.5" x14ac:dyDescent="0.35">
      <c r="B188" s="3"/>
      <c r="C188" s="3"/>
      <c r="D188" s="56"/>
      <c r="E188" s="56"/>
      <c r="F188" s="3"/>
      <c r="G188" s="49"/>
      <c r="H188" s="49"/>
      <c r="I188" s="49"/>
      <c r="J188" s="193" t="s">
        <v>131</v>
      </c>
      <c r="K188" s="194"/>
      <c r="L188" s="194"/>
      <c r="M188" s="194"/>
      <c r="N188" s="194"/>
      <c r="O188" s="194"/>
      <c r="P188" s="194"/>
      <c r="Q188" s="194"/>
      <c r="R188" s="22"/>
      <c r="S188" s="22"/>
    </row>
    <row r="189" spans="2:20" ht="14.5" thickBot="1" x14ac:dyDescent="0.35">
      <c r="B189" s="47"/>
      <c r="C189" s="47"/>
      <c r="D189" s="57"/>
      <c r="E189" s="57"/>
      <c r="F189" s="47"/>
      <c r="G189" s="74">
        <f>YEAR(G187)</f>
        <v>2023</v>
      </c>
      <c r="H189" s="74">
        <f>YEAR(H187)</f>
        <v>2024</v>
      </c>
      <c r="I189" s="74">
        <f>YEAR(I187)</f>
        <v>2025</v>
      </c>
      <c r="J189" s="74">
        <f>YEAR(J187)</f>
        <v>2026</v>
      </c>
      <c r="K189" s="195">
        <f t="shared" ref="K189:S189" si="78">YEAR(K187)</f>
        <v>2027</v>
      </c>
      <c r="L189" s="195">
        <f t="shared" si="78"/>
        <v>2028</v>
      </c>
      <c r="M189" s="195">
        <f t="shared" si="78"/>
        <v>2029</v>
      </c>
      <c r="N189" s="195">
        <f t="shared" si="78"/>
        <v>2030</v>
      </c>
      <c r="O189" s="195">
        <f t="shared" si="78"/>
        <v>2031</v>
      </c>
      <c r="P189" s="195">
        <f t="shared" si="78"/>
        <v>2032</v>
      </c>
      <c r="Q189" s="195">
        <f t="shared" si="78"/>
        <v>2033</v>
      </c>
      <c r="R189" s="195">
        <f t="shared" si="78"/>
        <v>2034</v>
      </c>
      <c r="S189" s="195">
        <f t="shared" si="78"/>
        <v>2035</v>
      </c>
    </row>
    <row r="191" spans="2:20" x14ac:dyDescent="0.3">
      <c r="C191" s="70" t="s">
        <v>192</v>
      </c>
      <c r="D191" s="56"/>
      <c r="E191" s="3"/>
      <c r="F191" s="3"/>
    </row>
    <row r="192" spans="2:20" x14ac:dyDescent="0.3">
      <c r="C192" s="3"/>
      <c r="D192" s="56"/>
      <c r="E192" s="3"/>
      <c r="F192" s="3"/>
    </row>
    <row r="193" spans="3:19" x14ac:dyDescent="0.3">
      <c r="C193" s="66" t="s">
        <v>193</v>
      </c>
      <c r="D193" s="169"/>
      <c r="E193" s="88">
        <f>Assumptions!H116</f>
        <v>0.1053</v>
      </c>
    </row>
    <row r="194" spans="3:19" x14ac:dyDescent="0.3">
      <c r="C194" s="83" t="s">
        <v>194</v>
      </c>
      <c r="D194" s="91"/>
      <c r="E194" s="89">
        <f>Assumptions!H118</f>
        <v>6.67</v>
      </c>
    </row>
    <row r="195" spans="3:19" x14ac:dyDescent="0.3">
      <c r="C195" s="3" t="s">
        <v>195</v>
      </c>
      <c r="D195" s="56"/>
      <c r="E195" s="3"/>
      <c r="J195" s="18">
        <f t="shared" ref="J195:P195" si="79">I209</f>
        <v>2117</v>
      </c>
      <c r="K195" s="18">
        <f t="shared" si="79"/>
        <v>2236.3198620928715</v>
      </c>
      <c r="L195" s="18">
        <f t="shared" si="79"/>
        <v>2642.2112122470162</v>
      </c>
      <c r="M195" s="18">
        <f t="shared" si="79"/>
        <v>2972.9661315935705</v>
      </c>
      <c r="N195" s="18">
        <f t="shared" si="79"/>
        <v>3221.4783118760802</v>
      </c>
      <c r="O195" s="18">
        <f t="shared" si="79"/>
        <v>3422.7759691976598</v>
      </c>
      <c r="P195" s="18">
        <f t="shared" si="79"/>
        <v>3433.1422039512945</v>
      </c>
      <c r="Q195" s="18">
        <f>P209</f>
        <v>3635.1848981562534</v>
      </c>
      <c r="R195" s="18">
        <f>Q209</f>
        <v>3847.9966159435417</v>
      </c>
      <c r="S195" s="18">
        <f>R209</f>
        <v>4200.6866985522956</v>
      </c>
    </row>
    <row r="196" spans="3:19" x14ac:dyDescent="0.3">
      <c r="C196" s="3" t="s">
        <v>196</v>
      </c>
      <c r="D196" s="56"/>
      <c r="E196" s="3"/>
      <c r="J196" s="18">
        <f t="shared" ref="J196:S196" si="80">J167</f>
        <v>513.73253618332501</v>
      </c>
      <c r="K196" s="18">
        <f t="shared" si="80"/>
        <v>941.4511184676312</v>
      </c>
      <c r="L196" s="18">
        <f t="shared" si="80"/>
        <v>1019.1038741962034</v>
      </c>
      <c r="M196" s="18">
        <f t="shared" si="80"/>
        <v>1102.0923758962081</v>
      </c>
      <c r="N196" s="18">
        <f t="shared" si="80"/>
        <v>1240.9233296434395</v>
      </c>
      <c r="O196" s="18">
        <f t="shared" si="80"/>
        <v>1235.1756649371346</v>
      </c>
      <c r="P196" s="18">
        <f t="shared" si="80"/>
        <v>1525.3901115926838</v>
      </c>
      <c r="Q196" s="18">
        <f t="shared" si="80"/>
        <v>1441.4306460811631</v>
      </c>
      <c r="R196" s="18">
        <f t="shared" si="80"/>
        <v>1436.3200262162636</v>
      </c>
      <c r="S196" s="18">
        <f t="shared" si="80"/>
        <v>1480.477559145811</v>
      </c>
    </row>
    <row r="197" spans="3:19" x14ac:dyDescent="0.3">
      <c r="C197" s="3" t="s">
        <v>197</v>
      </c>
      <c r="D197" s="56"/>
      <c r="E197" s="3"/>
    </row>
    <row r="198" spans="3:19" x14ac:dyDescent="0.3">
      <c r="C198" s="56">
        <v>2026</v>
      </c>
      <c r="D198" s="55">
        <f>J195+HLOOKUP(C198,$J$189:$S$197,8,FALSE)</f>
        <v>2630.732536183325</v>
      </c>
      <c r="E198" s="3"/>
      <c r="J198" s="18">
        <f>MIN($D198-SUM($I198:I198),IF(J$189&lt;$C198,0,IF(J$189&gt;$C198+$E$194,0,$D198/$E$194)))</f>
        <v>394.41267409045355</v>
      </c>
      <c r="K198" s="18">
        <f>MIN($D$198-SUM($I$198:J198),IF(K189&lt;$C198,0,IF(K189&gt;$C198+$E$194,0,$D198/$E$194)))</f>
        <v>394.41267409045355</v>
      </c>
      <c r="L198" s="18">
        <f>MIN($D$198-SUM($I$198:K198),IF(L189&lt;$C198,0,IF(L189&gt;$C198+$E$194,0,$D198/$E$194)))</f>
        <v>394.41267409045355</v>
      </c>
      <c r="M198" s="18">
        <f>MIN($D$198-SUM($I$198:L198),IF(M189&lt;$C198,0,IF(M189&gt;$C198+$E$194,0,$D198/$E$194)))</f>
        <v>394.41267409045355</v>
      </c>
      <c r="N198" s="18">
        <f>MIN($D$198-SUM($I$198:M198),IF(N189&lt;$C198,0,IF(N189&gt;$C198+$E$194,0,$D198/$E$194)))</f>
        <v>394.41267409045355</v>
      </c>
      <c r="O198" s="18">
        <f>MIN($D$198-SUM($I$198:N198),IF(O189&lt;$C198,0,IF(O189&gt;$C198+$E$194,0,$D198/$E$194)))</f>
        <v>394.41267409045355</v>
      </c>
      <c r="P198" s="18">
        <f>MIN($D$198-SUM($I$198:O198),IF(P189&lt;$C198,0,IF(P189&gt;$C198+$E$194,0,$D198/$E$194)))</f>
        <v>264.2564916406036</v>
      </c>
      <c r="Q198" s="18">
        <f>MIN($D$198-SUM($I$198:P198),IF(Q189&lt;$C198,0,IF(Q189&gt;$C198+$E$194,0,$D198/$E$194)))</f>
        <v>0</v>
      </c>
      <c r="R198" s="18">
        <f>MIN($D198-SUM($I198:Q198),IF(R$189&lt;$C198,0,IF(R$189&gt;$C198+$E$194,0,$D198/$E$194)))</f>
        <v>0</v>
      </c>
      <c r="S198" s="18">
        <f>MIN($D198-SUM($I198:R198),IF(S$189&lt;$C198,0,IF(S$189&gt;$C198+$E$194,0,$D198/$E$194)))</f>
        <v>0</v>
      </c>
    </row>
    <row r="199" spans="3:19" x14ac:dyDescent="0.3">
      <c r="C199" s="56">
        <v>2027</v>
      </c>
      <c r="D199" s="55">
        <f t="shared" ref="D199:D204" si="81">HLOOKUP(C199,$J$189:$S$197,8,FALSE)</f>
        <v>941.4511184676312</v>
      </c>
      <c r="E199" s="3"/>
      <c r="K199" s="18">
        <f>MIN($D199-SUM($I199:J199),IF(K$189&lt;$C199,0,IF(K$189&gt;$C199+$E$194,0,$D199/$E$194)))</f>
        <v>141.14709422303318</v>
      </c>
      <c r="L199" s="18">
        <f>MIN($D199-SUM($I199:K199),IF(L$189&lt;$C199,0,IF(L$189&gt;$C199+$E$194,0,$D199/$E$194)))</f>
        <v>141.14709422303318</v>
      </c>
      <c r="M199" s="18">
        <f>MIN($D199-SUM($I199:L199),IF(M$189&lt;$C199,0,IF(M$189&gt;$C199+$E$194,0,$D199/$E$194)))</f>
        <v>141.14709422303318</v>
      </c>
      <c r="N199" s="18">
        <f>MIN($D199-SUM($I199:M199),IF(N$189&lt;$C199,0,IF(N$189&gt;$C199+$E$194,0,$D199/$E$194)))</f>
        <v>141.14709422303318</v>
      </c>
      <c r="O199" s="18">
        <f>MIN($D199-SUM($I199:N199),IF(O$189&lt;$C199,0,IF(O$189&gt;$C199+$E$194,0,$D199/$E$194)))</f>
        <v>141.14709422303318</v>
      </c>
      <c r="P199" s="18">
        <f>MIN($D199-SUM($I199:O199),IF(P$189&lt;$C199,0,IF(P$189&gt;$C199+$E$194,0,$D199/$E$194)))</f>
        <v>141.14709422303318</v>
      </c>
      <c r="Q199" s="18">
        <f>MIN($D199-SUM($I199:P199),IF(Q$189&lt;$C199,0,IF(Q$189&gt;$C199+$E$194,0,$D199/$E$194)))</f>
        <v>94.568553129432189</v>
      </c>
      <c r="R199" s="18">
        <f>MIN($D199-SUM($I199:Q199),IF(R$189&lt;$C199,0,IF(R$189&gt;$C199+$E$194,0,$D199/$E$194)))</f>
        <v>0</v>
      </c>
      <c r="S199" s="18">
        <f>MIN($D199-SUM($I199:R199),IF(S$189&lt;$C199,0,IF(S$189&gt;$C199+$E$194,0,$D199/$E$194)))</f>
        <v>0</v>
      </c>
    </row>
    <row r="200" spans="3:19" x14ac:dyDescent="0.3">
      <c r="C200" s="56">
        <v>2028</v>
      </c>
      <c r="D200" s="55">
        <f t="shared" si="81"/>
        <v>1019.1038741962034</v>
      </c>
      <c r="E200" s="3"/>
      <c r="L200" s="18">
        <f>MIN($D200-SUM($I200:K200),IF(L$189&lt;$C200,0,IF(L$189&gt;$C200+$E$194,0,$D200/$E$194)))</f>
        <v>152.78918653616242</v>
      </c>
      <c r="M200" s="18">
        <f>MIN($D200-SUM($I200:L200),IF(M$189&lt;$C200,0,IF(M$189&gt;$C200+$E$194,0,$D200/$E$194)))</f>
        <v>152.78918653616242</v>
      </c>
      <c r="N200" s="18">
        <f>MIN($D200-SUM($I200:M200),IF(N$189&lt;$C200,0,IF(N$189&gt;$C200+$E$194,0,$D200/$E$194)))</f>
        <v>152.78918653616242</v>
      </c>
      <c r="O200" s="18">
        <f>MIN($D200-SUM($I200:N200),IF(O$189&lt;$C200,0,IF(O$189&gt;$C200+$E$194,0,$D200/$E$194)))</f>
        <v>152.78918653616242</v>
      </c>
      <c r="P200" s="18">
        <f>MIN($D200-SUM($I200:O200),IF(P$189&lt;$C200,0,IF(P$189&gt;$C200+$E$194,0,$D200/$E$194)))</f>
        <v>152.78918653616242</v>
      </c>
      <c r="Q200" s="18">
        <f>MIN($D200-SUM($I200:P200),IF(Q$189&lt;$C200,0,IF(Q$189&gt;$C200+$E$194,0,$D200/$E$194)))</f>
        <v>152.78918653616242</v>
      </c>
      <c r="R200" s="18">
        <f>MIN($D200-SUM($I200:Q200),IF(R$189&lt;$C200,0,IF(R$189&gt;$C200+$E$194,0,$D200/$E$194)))</f>
        <v>102.36875497922881</v>
      </c>
      <c r="S200" s="18">
        <f>MIN($D200-SUM($I200:R200),IF(S$189&lt;$C200,0,IF(S$189&gt;$C200+$E$194,0,$D200/$E$194)))</f>
        <v>0</v>
      </c>
    </row>
    <row r="201" spans="3:19" x14ac:dyDescent="0.3">
      <c r="C201" s="56">
        <v>2029</v>
      </c>
      <c r="D201" s="55">
        <f t="shared" si="81"/>
        <v>1102.0923758962081</v>
      </c>
      <c r="E201" s="3"/>
      <c r="M201" s="18">
        <f>MIN($D201-SUM($I201:L201),IF(M$189&lt;$C201,0,IF(M$189&gt;$C201+$E$194,0,$D201/$E$194)))</f>
        <v>165.23124076404918</v>
      </c>
      <c r="N201" s="18">
        <f>MIN($D201-SUM($I201:M201),IF(N$189&lt;$C201,0,IF(N$189&gt;$C201+$E$194,0,$D201/$E$194)))</f>
        <v>165.23124076404918</v>
      </c>
      <c r="O201" s="18">
        <f>MIN($D201-SUM($I201:N201),IF(O$189&lt;$C201,0,IF(O$189&gt;$C201+$E$194,0,$D201/$E$194)))</f>
        <v>165.23124076404918</v>
      </c>
      <c r="P201" s="18">
        <f>MIN($D201-SUM($I201:O201),IF(P$189&lt;$C201,0,IF(P$189&gt;$C201+$E$194,0,$D201/$E$194)))</f>
        <v>165.23124076404918</v>
      </c>
      <c r="Q201" s="18">
        <f>MIN($D201-SUM($I201:P201),IF(Q$189&lt;$C201,0,IF(Q$189&gt;$C201+$E$194,0,$D201/$E$194)))</f>
        <v>165.23124076404918</v>
      </c>
      <c r="R201" s="18">
        <f>MIN($D201-SUM($I201:Q201),IF(R$189&lt;$C201,0,IF(R$189&gt;$C201+$E$194,0,$D201/$E$194)))</f>
        <v>165.23124076404918</v>
      </c>
      <c r="S201" s="18">
        <f>MIN($D201-SUM($I201:R201),IF(S$189&lt;$C201,0,IF(S$189&gt;$C201+$E$194,0,$D201/$E$194)))</f>
        <v>110.70493131191301</v>
      </c>
    </row>
    <row r="202" spans="3:19" x14ac:dyDescent="0.3">
      <c r="C202" s="56">
        <v>2030</v>
      </c>
      <c r="D202" s="55">
        <f t="shared" si="81"/>
        <v>1240.9233296434395</v>
      </c>
      <c r="E202" s="3"/>
      <c r="N202" s="18">
        <f>MIN($D202-SUM($I202:M202),IF(N$189&lt;$C202,0,IF(N$189&gt;$C202+$E$194,0,$D202/$E$194)))</f>
        <v>186.04547670816186</v>
      </c>
      <c r="O202" s="18">
        <f>MIN($D202-SUM($I202:N202),IF(O$189&lt;$C202,0,IF(O$189&gt;$C202+$E$194,0,$D202/$E$194)))</f>
        <v>186.04547670816186</v>
      </c>
      <c r="P202" s="18">
        <f>MIN($D202-SUM($I202:O202),IF(P$189&lt;$C202,0,IF(P$189&gt;$C202+$E$194,0,$D202/$E$194)))</f>
        <v>186.04547670816186</v>
      </c>
      <c r="Q202" s="18">
        <f>MIN($D202-SUM($I202:P202),IF(Q$189&lt;$C202,0,IF(Q$189&gt;$C202+$E$194,0,$D202/$E$194)))</f>
        <v>186.04547670816186</v>
      </c>
      <c r="R202" s="18">
        <f>MIN($D202-SUM($I202:Q202),IF(R$189&lt;$C202,0,IF(R$189&gt;$C202+$E$194,0,$D202/$E$194)))</f>
        <v>186.04547670816186</v>
      </c>
      <c r="S202" s="18">
        <f>MIN($D202-SUM($I202:R202),IF(S$189&lt;$C202,0,IF(S$189&gt;$C202+$E$194,0,$D202/$E$194)))</f>
        <v>186.04547670816186</v>
      </c>
    </row>
    <row r="203" spans="3:19" x14ac:dyDescent="0.3">
      <c r="C203" s="56">
        <v>2031</v>
      </c>
      <c r="D203" s="55">
        <f t="shared" si="81"/>
        <v>1235.1756649371346</v>
      </c>
      <c r="E203" s="3"/>
      <c r="O203" s="18">
        <f>MIN($D203-SUM($I203:N203),IF(O$189&lt;$C203,0,IF(O$189&gt;$C203+$E$194,0,$D203/$E$194)))</f>
        <v>185.18375786163938</v>
      </c>
      <c r="P203" s="18">
        <f>MIN($D203-SUM($I203:O203),IF(P$189&lt;$C203,0,IF(P$189&gt;$C203+$E$194,0,$D203/$E$194)))</f>
        <v>185.18375786163938</v>
      </c>
      <c r="Q203" s="18">
        <f>MIN($D203-SUM($I203:P203),IF(Q$189&lt;$C203,0,IF(Q$189&gt;$C203+$E$194,0,$D203/$E$194)))</f>
        <v>185.18375786163938</v>
      </c>
      <c r="R203" s="18">
        <f>MIN($D203-SUM($I203:Q203),IF(R$189&lt;$C203,0,IF(R$189&gt;$C203+$E$194,0,$D203/$E$194)))</f>
        <v>185.18375786163938</v>
      </c>
      <c r="S203" s="18">
        <f>MIN($D203-SUM($I203:R203),IF(S$189&lt;$C203,0,IF(S$189&gt;$C203+$E$194,0,$D203/$E$194)))</f>
        <v>185.18375786163938</v>
      </c>
    </row>
    <row r="204" spans="3:19" x14ac:dyDescent="0.3">
      <c r="C204" s="56">
        <v>2032</v>
      </c>
      <c r="D204" s="55">
        <f t="shared" si="81"/>
        <v>1525.3901115926838</v>
      </c>
      <c r="E204" s="3"/>
      <c r="P204" s="18">
        <f>MIN($D204-SUM($I204:O204),IF(P$189&lt;$C204,0,IF(P$189&gt;$C204+$E$194,0,$D204/$E$194)))</f>
        <v>228.69416965407552</v>
      </c>
      <c r="Q204" s="18">
        <f>MIN($D204-SUM($I204:P204),IF(Q$189&lt;$C204,0,IF(Q$189&gt;$C204+$E$194,0,$D204/$E$194)))</f>
        <v>228.69416965407552</v>
      </c>
      <c r="R204" s="18">
        <f>MIN($D204-SUM($I204:Q204),IF(R$189&lt;$C204,0,IF(R$189&gt;$C204+$E$194,0,$D204/$E$194)))</f>
        <v>228.69416965407552</v>
      </c>
      <c r="S204" s="18">
        <f>MIN($D204-SUM($I204:R204),IF(S$189&lt;$C204,0,IF(S$189&gt;$C204+$E$194,0,$D204/$E$194)))</f>
        <v>228.69416965407552</v>
      </c>
    </row>
    <row r="205" spans="3:19" x14ac:dyDescent="0.3">
      <c r="C205" s="56">
        <v>2033</v>
      </c>
      <c r="D205" s="55">
        <f>HLOOKUP(C205,$J$189:$S$197,8,FALSE)</f>
        <v>1441.4306460811631</v>
      </c>
      <c r="E205" s="3"/>
      <c r="Q205" s="18">
        <f>MIN($D205-SUM($I205:P205),IF(Q$189&lt;$C205,0,IF(Q$189&gt;$C205+$E$194,0,$D205/$E$194)))</f>
        <v>216.10654364035429</v>
      </c>
      <c r="R205" s="18">
        <f>MIN($D205-SUM($I205:Q205),IF(R$189&lt;$C205,0,IF(R$189&gt;$C205+$E$194,0,$D205/$E$194)))</f>
        <v>216.10654364035429</v>
      </c>
      <c r="S205" s="18">
        <f>MIN($D205-SUM($I205:R205),IF(S$189&lt;$C205,0,IF(S$189&gt;$C205+$E$194,0,$D205/$E$194)))</f>
        <v>216.10654364035429</v>
      </c>
    </row>
    <row r="206" spans="3:19" x14ac:dyDescent="0.3">
      <c r="C206" s="56">
        <v>2034</v>
      </c>
      <c r="D206" s="55">
        <f>HLOOKUP(C206,$J$189:$S$197,8,FALSE)</f>
        <v>1436.3200262162636</v>
      </c>
      <c r="E206" s="3"/>
      <c r="R206" s="18">
        <f>MIN($D206-SUM($I206:Q206),IF(R$189&lt;$C206,0,IF(R$189&gt;$C206+$E$194,0,$D206/$E$194)))</f>
        <v>215.34033376555678</v>
      </c>
      <c r="S206" s="18">
        <f>MIN($D206-SUM($I206:R206),IF(S$189&lt;$C206,0,IF(S$189&gt;$C206+$E$194,0,$D206/$E$194)))</f>
        <v>215.34033376555678</v>
      </c>
    </row>
    <row r="207" spans="3:19" x14ac:dyDescent="0.3">
      <c r="C207" s="56">
        <v>2035</v>
      </c>
      <c r="D207" s="55">
        <f>HLOOKUP(C207,$J$189:$S$197,8,FALSE)</f>
        <v>1480.477559145811</v>
      </c>
      <c r="E207" s="3"/>
      <c r="S207" s="18">
        <f>MIN($D207-SUM($I207:R207),IF(S$189&lt;$C207,0,IF(S$189&gt;$C207+$E$194,0,$D207/$E$194)))</f>
        <v>221.96065354509912</v>
      </c>
    </row>
    <row r="208" spans="3:19" x14ac:dyDescent="0.3">
      <c r="C208" s="56"/>
      <c r="D208" s="56"/>
      <c r="E208" s="3"/>
    </row>
    <row r="209" spans="2:19" x14ac:dyDescent="0.3">
      <c r="C209" s="3" t="s">
        <v>198</v>
      </c>
      <c r="D209" s="56"/>
      <c r="E209" s="3"/>
      <c r="I209" s="18">
        <f>I169</f>
        <v>2117</v>
      </c>
      <c r="J209" s="18">
        <f>J195+J196-SUM(J198:J205)</f>
        <v>2236.3198620928715</v>
      </c>
      <c r="K209" s="18">
        <f>K195+K196-SUM(K198:K205)</f>
        <v>2642.2112122470162</v>
      </c>
      <c r="L209" s="18">
        <f t="shared" ref="L209:S209" si="82">L195+L196-SUM(L198:L205)</f>
        <v>2972.9661315935705</v>
      </c>
      <c r="M209" s="18">
        <f t="shared" si="82"/>
        <v>3221.4783118760802</v>
      </c>
      <c r="N209" s="18">
        <f t="shared" si="82"/>
        <v>3422.7759691976598</v>
      </c>
      <c r="O209" s="18">
        <f t="shared" si="82"/>
        <v>3433.1422039512945</v>
      </c>
      <c r="P209" s="18">
        <f t="shared" si="82"/>
        <v>3635.1848981562534</v>
      </c>
      <c r="Q209" s="18">
        <f t="shared" si="82"/>
        <v>3847.9966159435417</v>
      </c>
      <c r="R209" s="18">
        <f t="shared" si="82"/>
        <v>4200.6866985522956</v>
      </c>
      <c r="S209" s="18">
        <f t="shared" si="82"/>
        <v>4754.4293785219625</v>
      </c>
    </row>
    <row r="210" spans="2:19" x14ac:dyDescent="0.3">
      <c r="C210" s="3"/>
      <c r="D210" s="56"/>
      <c r="E210" s="3"/>
    </row>
    <row r="211" spans="2:19" ht="14.5" thickBot="1" x14ac:dyDescent="0.35">
      <c r="C211" s="70" t="s">
        <v>199</v>
      </c>
      <c r="D211" s="170"/>
      <c r="E211" s="70"/>
      <c r="H211" s="34"/>
      <c r="I211" s="34"/>
      <c r="J211" s="72">
        <f>AVERAGE(J209,J195)*$E$193*(1-Assumptions!$H$117)</f>
        <v>171.90171805439226</v>
      </c>
      <c r="K211" s="72">
        <f>AVERAGE(K209,K195)*$E$193*(1-Assumptions!$H$117)</f>
        <v>192.64099579799631</v>
      </c>
      <c r="L211" s="72">
        <f>AVERAGE(L209,L195)*$E$193*(1-Assumptions!$H$117)</f>
        <v>221.72931536490518</v>
      </c>
      <c r="M211" s="72">
        <f>AVERAGE(M209,M195)*$E$193*(1-Assumptions!$H$117)</f>
        <v>244.60312496150786</v>
      </c>
      <c r="N211" s="72">
        <f>AVERAGE(N209,N195)*$E$193*(1-Assumptions!$H$117)</f>
        <v>262.36499092389931</v>
      </c>
      <c r="O211" s="72">
        <f>AVERAGE(O209,O195)*$E$193*(1-Assumptions!$H$117)</f>
        <v>270.72306886221935</v>
      </c>
      <c r="P211" s="72">
        <f>AVERAGE(P209,P195)*$E$193*(1-Assumptions!$H$117)</f>
        <v>279.11056644447183</v>
      </c>
      <c r="Q211" s="72">
        <f>AVERAGE(Q209,Q195)*$E$193*(1-Assumptions!$H$117)</f>
        <v>295.49213003801566</v>
      </c>
      <c r="R211" s="72">
        <f>AVERAGE(R209,R195)*$E$193*(1-Assumptions!$H$117)</f>
        <v>317.8223823811544</v>
      </c>
      <c r="S211" s="72">
        <f>AVERAGE(S209,S195)*$E$193*(1-Assumptions!$H$117)</f>
        <v>353.61514609346978</v>
      </c>
    </row>
    <row r="212" spans="2:19" ht="5.4" customHeight="1" thickTop="1" x14ac:dyDescent="0.3">
      <c r="B212" s="34"/>
      <c r="C212" s="34"/>
      <c r="D212" s="58"/>
      <c r="E212" s="58"/>
      <c r="F212" s="34"/>
      <c r="G212" s="34"/>
      <c r="H212" s="34"/>
      <c r="I212" s="34"/>
      <c r="J212" s="34"/>
      <c r="K212" s="34"/>
      <c r="L212" s="34"/>
      <c r="M212" s="34"/>
      <c r="N212" s="34"/>
      <c r="O212" s="34"/>
      <c r="P212" s="34"/>
      <c r="Q212" s="34"/>
    </row>
    <row r="213" spans="2:19" x14ac:dyDescent="0.3">
      <c r="B213" s="92"/>
      <c r="C213" s="92"/>
      <c r="D213" s="93"/>
      <c r="E213" s="93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  <c r="R213" s="92"/>
      <c r="S213" s="92"/>
    </row>
    <row r="216" spans="2:19" ht="30" x14ac:dyDescent="0.6">
      <c r="B216" s="21" t="str">
        <f>Cover!$B$8</f>
        <v>ONE 97 COMMUNICATIONS LIMITED</v>
      </c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</row>
    <row r="217" spans="2:19" ht="19" x14ac:dyDescent="0.4">
      <c r="B217" s="44" t="s">
        <v>200</v>
      </c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22"/>
      <c r="S217" s="22"/>
    </row>
    <row r="218" spans="2:19" x14ac:dyDescent="0.3">
      <c r="B218" s="70" t="str">
        <f>"Now running : "&amp;Assumptions!$H$8</f>
        <v>Now running : Base Case Scenario</v>
      </c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</row>
    <row r="219" spans="2:19" ht="15" thickBot="1" x14ac:dyDescent="0.4">
      <c r="B219" s="46" t="s">
        <v>129</v>
      </c>
      <c r="C219" s="47"/>
      <c r="D219" s="57"/>
      <c r="E219" s="5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3"/>
    </row>
    <row r="220" spans="2:19" x14ac:dyDescent="0.3">
      <c r="B220" s="3" t="s">
        <v>130</v>
      </c>
      <c r="C220" s="3"/>
      <c r="D220" s="56"/>
      <c r="E220" s="56"/>
      <c r="F220" s="3"/>
      <c r="G220" s="48">
        <v>1</v>
      </c>
      <c r="H220" s="48">
        <v>2</v>
      </c>
      <c r="I220" s="48">
        <v>3</v>
      </c>
      <c r="J220" s="48">
        <v>4</v>
      </c>
      <c r="K220" s="48">
        <v>5</v>
      </c>
      <c r="L220" s="48">
        <v>6</v>
      </c>
      <c r="M220" s="48">
        <v>7</v>
      </c>
      <c r="N220" s="48">
        <v>8</v>
      </c>
      <c r="O220" s="48">
        <v>9</v>
      </c>
      <c r="P220" s="48">
        <v>10</v>
      </c>
      <c r="Q220" s="48">
        <v>11</v>
      </c>
      <c r="R220" s="48">
        <v>12</v>
      </c>
      <c r="S220" s="48">
        <v>13</v>
      </c>
    </row>
    <row r="221" spans="2:19" x14ac:dyDescent="0.3">
      <c r="B221" s="3"/>
      <c r="C221" s="3"/>
      <c r="D221" s="56"/>
      <c r="E221" s="56"/>
      <c r="F221" s="3"/>
      <c r="G221" s="49">
        <v>45016</v>
      </c>
      <c r="H221" s="49">
        <f t="shared" ref="H221:S221" si="83">EOMONTH(G221,12)</f>
        <v>45382</v>
      </c>
      <c r="I221" s="49">
        <f t="shared" si="83"/>
        <v>45747</v>
      </c>
      <c r="J221" s="49">
        <f t="shared" si="83"/>
        <v>46112</v>
      </c>
      <c r="K221" s="49">
        <f t="shared" si="83"/>
        <v>46477</v>
      </c>
      <c r="L221" s="49">
        <f t="shared" si="83"/>
        <v>46843</v>
      </c>
      <c r="M221" s="49">
        <f t="shared" si="83"/>
        <v>47208</v>
      </c>
      <c r="N221" s="49">
        <f t="shared" si="83"/>
        <v>47573</v>
      </c>
      <c r="O221" s="49">
        <f t="shared" si="83"/>
        <v>47938</v>
      </c>
      <c r="P221" s="49">
        <f t="shared" si="83"/>
        <v>48304</v>
      </c>
      <c r="Q221" s="49">
        <f t="shared" si="83"/>
        <v>48669</v>
      </c>
      <c r="R221" s="49">
        <f t="shared" si="83"/>
        <v>49034</v>
      </c>
      <c r="S221" s="49">
        <f t="shared" si="83"/>
        <v>49399</v>
      </c>
    </row>
    <row r="222" spans="2:19" ht="14.5" x14ac:dyDescent="0.35">
      <c r="B222" s="3"/>
      <c r="C222" s="3"/>
      <c r="D222" s="56"/>
      <c r="E222" s="56"/>
      <c r="F222" s="3"/>
      <c r="G222" s="49"/>
      <c r="H222" s="49"/>
      <c r="I222" s="49"/>
      <c r="J222" s="193" t="s">
        <v>131</v>
      </c>
      <c r="K222" s="194"/>
      <c r="L222" s="194"/>
      <c r="M222" s="194"/>
      <c r="N222" s="194"/>
      <c r="O222" s="194"/>
      <c r="P222" s="194"/>
      <c r="Q222" s="194"/>
      <c r="R222" s="22"/>
      <c r="S222" s="22"/>
    </row>
    <row r="223" spans="2:19" ht="14.5" thickBot="1" x14ac:dyDescent="0.35">
      <c r="B223" s="47"/>
      <c r="C223" s="47"/>
      <c r="D223" s="57"/>
      <c r="E223" s="57"/>
      <c r="F223" s="47"/>
      <c r="G223" s="74">
        <f>YEAR(G221)</f>
        <v>2023</v>
      </c>
      <c r="H223" s="74">
        <f>YEAR(H221)</f>
        <v>2024</v>
      </c>
      <c r="I223" s="74">
        <f>YEAR(I221)</f>
        <v>2025</v>
      </c>
      <c r="J223" s="74">
        <f>YEAR(J221)</f>
        <v>2026</v>
      </c>
      <c r="K223" s="195">
        <f t="shared" ref="K223:S223" si="84">YEAR(K221)</f>
        <v>2027</v>
      </c>
      <c r="L223" s="195">
        <f t="shared" si="84"/>
        <v>2028</v>
      </c>
      <c r="M223" s="195">
        <f t="shared" si="84"/>
        <v>2029</v>
      </c>
      <c r="N223" s="195">
        <f t="shared" si="84"/>
        <v>2030</v>
      </c>
      <c r="O223" s="195">
        <f t="shared" si="84"/>
        <v>2031</v>
      </c>
      <c r="P223" s="195">
        <f t="shared" si="84"/>
        <v>2032</v>
      </c>
      <c r="Q223" s="195">
        <f t="shared" si="84"/>
        <v>2033</v>
      </c>
      <c r="R223" s="195">
        <f t="shared" si="84"/>
        <v>2034</v>
      </c>
      <c r="S223" s="195">
        <f t="shared" si="84"/>
        <v>2035</v>
      </c>
    </row>
    <row r="225" spans="2:19" s="34" customFormat="1" x14ac:dyDescent="0.3">
      <c r="B225" s="34" t="s">
        <v>201</v>
      </c>
      <c r="D225" s="58"/>
      <c r="E225" s="58"/>
      <c r="I225" s="34">
        <f>'Raw Data'!D120</f>
        <v>353</v>
      </c>
      <c r="J225" s="34">
        <f>I225+($S$225-$I$225)/COUNT($J$220:$S$220)</f>
        <v>317.7</v>
      </c>
      <c r="K225" s="34">
        <f t="shared" ref="K225:R225" si="85">J225+($S$225-$I$225)/COUNT($J$220:$S$220)</f>
        <v>282.39999999999998</v>
      </c>
      <c r="L225" s="34">
        <f t="shared" si="85"/>
        <v>247.09999999999997</v>
      </c>
      <c r="M225" s="34">
        <f t="shared" si="85"/>
        <v>211.79999999999995</v>
      </c>
      <c r="N225" s="34">
        <f t="shared" si="85"/>
        <v>176.49999999999994</v>
      </c>
      <c r="O225" s="34">
        <f t="shared" si="85"/>
        <v>141.19999999999993</v>
      </c>
      <c r="P225" s="34">
        <f t="shared" si="85"/>
        <v>105.89999999999993</v>
      </c>
      <c r="Q225" s="34">
        <f t="shared" si="85"/>
        <v>70.599999999999937</v>
      </c>
      <c r="R225" s="34">
        <f t="shared" si="85"/>
        <v>35.29999999999994</v>
      </c>
      <c r="S225" s="34">
        <v>0</v>
      </c>
    </row>
    <row r="226" spans="2:19" s="34" customFormat="1" x14ac:dyDescent="0.3">
      <c r="B226" s="34" t="s">
        <v>202</v>
      </c>
      <c r="D226" s="58"/>
      <c r="E226" s="58"/>
      <c r="I226" s="34">
        <f>'Raw Data'!D119</f>
        <v>1360</v>
      </c>
      <c r="J226" s="34">
        <f>$I$226</f>
        <v>1360</v>
      </c>
      <c r="K226" s="34">
        <f t="shared" ref="K226:S226" si="86">$I$226</f>
        <v>1360</v>
      </c>
      <c r="L226" s="34">
        <f t="shared" si="86"/>
        <v>1360</v>
      </c>
      <c r="M226" s="34">
        <f t="shared" si="86"/>
        <v>1360</v>
      </c>
      <c r="N226" s="34">
        <f t="shared" si="86"/>
        <v>1360</v>
      </c>
      <c r="O226" s="34">
        <f t="shared" si="86"/>
        <v>1360</v>
      </c>
      <c r="P226" s="34">
        <f t="shared" si="86"/>
        <v>1360</v>
      </c>
      <c r="Q226" s="34">
        <f t="shared" si="86"/>
        <v>1360</v>
      </c>
      <c r="R226" s="34">
        <f t="shared" si="86"/>
        <v>1360</v>
      </c>
      <c r="S226" s="34">
        <f t="shared" si="86"/>
        <v>1360</v>
      </c>
    </row>
    <row r="227" spans="2:19" x14ac:dyDescent="0.3">
      <c r="B227" s="34"/>
    </row>
    <row r="228" spans="2:19" s="34" customFormat="1" x14ac:dyDescent="0.3">
      <c r="B228" s="34" t="s">
        <v>203</v>
      </c>
      <c r="D228" s="58"/>
      <c r="E228" s="58"/>
      <c r="I228" s="34">
        <f>'Raw Data'!D118</f>
        <v>5532</v>
      </c>
      <c r="J228" s="34">
        <f>AVERAGE(J232,J234)*$E$230</f>
        <v>6244.8035074132031</v>
      </c>
      <c r="K228" s="34">
        <f t="shared" ref="K228:S228" si="87">AVERAGE(K232,K234)*$E$230</f>
        <v>7659.6385522396531</v>
      </c>
      <c r="L228" s="34">
        <f t="shared" si="87"/>
        <v>9187.4586387445088</v>
      </c>
      <c r="M228" s="34">
        <f t="shared" si="87"/>
        <v>11049.496307241487</v>
      </c>
      <c r="N228" s="34">
        <f t="shared" si="87"/>
        <v>13378.150426006167</v>
      </c>
      <c r="O228" s="34">
        <f t="shared" si="87"/>
        <v>16255.035378344599</v>
      </c>
      <c r="P228" s="34">
        <f t="shared" si="87"/>
        <v>19811.926307401995</v>
      </c>
      <c r="Q228" s="34">
        <f t="shared" si="87"/>
        <v>24173.765523196664</v>
      </c>
      <c r="R228" s="34">
        <f t="shared" si="87"/>
        <v>29408.649151607846</v>
      </c>
      <c r="S228" s="34">
        <f t="shared" si="87"/>
        <v>35682.149618824806</v>
      </c>
    </row>
    <row r="229" spans="2:19" x14ac:dyDescent="0.3">
      <c r="B229" s="34"/>
    </row>
    <row r="230" spans="2:19" x14ac:dyDescent="0.3">
      <c r="C230" s="94" t="s">
        <v>204</v>
      </c>
      <c r="D230" s="173"/>
      <c r="E230" s="114">
        <f>I228/SUM('Raw Data'!D123,'Raw Data'!D124,'Raw Data'!D128,'Raw Data'!D143)</f>
        <v>9.1102218269848323E-2</v>
      </c>
    </row>
    <row r="232" spans="2:19" x14ac:dyDescent="0.3">
      <c r="C232" s="3" t="s">
        <v>205</v>
      </c>
      <c r="J232" s="18">
        <f>I234</f>
        <v>60723</v>
      </c>
      <c r="K232" s="18">
        <f t="shared" ref="K232:Q232" si="88">J234</f>
        <v>76371.433615564689</v>
      </c>
      <c r="L232" s="18">
        <f t="shared" si="88"/>
        <v>91783.386271509968</v>
      </c>
      <c r="M232" s="18">
        <f t="shared" si="88"/>
        <v>109912.22143654599</v>
      </c>
      <c r="N232" s="18">
        <f t="shared" si="88"/>
        <v>132661.37374227718</v>
      </c>
      <c r="O232" s="18">
        <f t="shared" si="88"/>
        <v>161034.00887463262</v>
      </c>
      <c r="P232" s="18">
        <f t="shared" si="88"/>
        <v>195818.67126969821</v>
      </c>
      <c r="Q232" s="18">
        <f t="shared" si="88"/>
        <v>239119.72394518662</v>
      </c>
      <c r="R232" s="18">
        <f>Q234</f>
        <v>291575.70767631417</v>
      </c>
      <c r="S232" s="18">
        <f>R234</f>
        <v>354043.02060751931</v>
      </c>
    </row>
    <row r="233" spans="2:19" x14ac:dyDescent="0.3">
      <c r="C233" s="3" t="s">
        <v>206</v>
      </c>
      <c r="J233" s="18">
        <f>IF(('Financial Statements'!J17-SUM(J127,J144)+J311+'Financial Statements'!I54)*Assumptions!$P$119&lt;0,0,('Financial Statements'!J17-SUM(J127,J144)+J311+'Financial Statements'!I54)*Assumptions!$P$119)</f>
        <v>15648.433615564682</v>
      </c>
      <c r="K233" s="18">
        <f>IF(('Financial Statements'!K17-SUM(K127,K144)+K311+'Financial Statements'!J54)*Assumptions!$P$119&lt;0,0,('Financial Statements'!K17-SUM(K127,K144)+K311+'Financial Statements'!J54)*Assumptions!$P$119)</f>
        <v>15411.952655945273</v>
      </c>
      <c r="L233" s="18">
        <f>IF(('Financial Statements'!L17-SUM(L127,L144)+L311+'Financial Statements'!K54)*Assumptions!$P$119&lt;0,0,('Financial Statements'!L17-SUM(L127,L144)+L311+'Financial Statements'!K54)*Assumptions!$P$119)</f>
        <v>18128.835165036024</v>
      </c>
      <c r="M233" s="18">
        <f>IF(('Financial Statements'!M17-SUM(M127,M144)+M311+'Financial Statements'!L54)*Assumptions!$P$119&lt;0,0,('Financial Statements'!M17-SUM(M127,M144)+M311+'Financial Statements'!L54)*Assumptions!$P$119)</f>
        <v>22749.152305731186</v>
      </c>
      <c r="N233" s="18">
        <f>IF(('Financial Statements'!N17-SUM(N127,N144)+N311+'Financial Statements'!M54)*Assumptions!$P$119&lt;0,0,('Financial Statements'!N17-SUM(N127,N144)+N311+'Financial Statements'!M54)*Assumptions!$P$119)</f>
        <v>28372.635132355448</v>
      </c>
      <c r="O233" s="18">
        <f>IF(('Financial Statements'!O17-SUM(O127,O144)+O311+'Financial Statements'!N54)*Assumptions!$P$119&lt;0,0,('Financial Statements'!O17-SUM(O127,O144)+O311+'Financial Statements'!N54)*Assumptions!$P$119)</f>
        <v>34784.662395065592</v>
      </c>
      <c r="P233" s="18">
        <f>IF(('Financial Statements'!P17-SUM(P127,P144)+P311+'Financial Statements'!O54)*Assumptions!$P$119&lt;0,0,('Financial Statements'!P17-SUM(P127,P144)+P311+'Financial Statements'!O54)*Assumptions!$P$119)</f>
        <v>43301.052675488398</v>
      </c>
      <c r="Q233" s="18">
        <f>IF(('Financial Statements'!Q17-SUM(Q127,Q144)+Q311+'Financial Statements'!P54)*Assumptions!$P$119&lt;0,0,('Financial Statements'!Q17-SUM(Q127,Q144)+Q311+'Financial Statements'!P54)*Assumptions!$P$119)</f>
        <v>52455.983731127548</v>
      </c>
      <c r="R233" s="18">
        <f>IF(('Financial Statements'!R17-SUM(R127,R144)+R311+'Financial Statements'!Q54)*Assumptions!$P$119&lt;0,0,('Financial Statements'!R17-SUM(R127,R144)+R311+'Financial Statements'!Q54)*Assumptions!$P$119)</f>
        <v>62467.312931205161</v>
      </c>
      <c r="S233" s="18">
        <f>IF(('Financial Statements'!S17-SUM(S127,S144)+S311+'Financial Statements'!R54)*Assumptions!$P$119&lt;0,0,('Financial Statements'!S17-SUM(S127,S144)+S311+'Financial Statements'!R54)*Assumptions!$P$119)</f>
        <v>75257.115438576278</v>
      </c>
    </row>
    <row r="234" spans="2:19" x14ac:dyDescent="0.3">
      <c r="C234" s="3" t="s">
        <v>207</v>
      </c>
      <c r="I234" s="18">
        <f>SUM('Raw Data'!D123,'Raw Data'!D124,'Raw Data'!D128,'Raw Data'!D143)</f>
        <v>60723</v>
      </c>
      <c r="J234" s="18">
        <f>J232+J233</f>
        <v>76371.433615564689</v>
      </c>
      <c r="K234" s="18">
        <f t="shared" ref="K234:S234" si="89">K232+K233</f>
        <v>91783.386271509968</v>
      </c>
      <c r="L234" s="18">
        <f t="shared" si="89"/>
        <v>109912.22143654599</v>
      </c>
      <c r="M234" s="18">
        <f t="shared" si="89"/>
        <v>132661.37374227718</v>
      </c>
      <c r="N234" s="18">
        <f t="shared" si="89"/>
        <v>161034.00887463262</v>
      </c>
      <c r="O234" s="18">
        <f t="shared" si="89"/>
        <v>195818.67126969821</v>
      </c>
      <c r="P234" s="18">
        <f t="shared" si="89"/>
        <v>239119.72394518662</v>
      </c>
      <c r="Q234" s="18">
        <f t="shared" si="89"/>
        <v>291575.70767631417</v>
      </c>
      <c r="R234" s="18">
        <f t="shared" si="89"/>
        <v>354043.02060751931</v>
      </c>
      <c r="S234" s="18">
        <f t="shared" si="89"/>
        <v>429300.13604609558</v>
      </c>
    </row>
    <row r="235" spans="2:19" x14ac:dyDescent="0.3">
      <c r="B235" s="34"/>
      <c r="C235" s="34"/>
      <c r="D235" s="58"/>
      <c r="E235" s="58"/>
      <c r="F235" s="34"/>
      <c r="G235" s="34"/>
      <c r="H235" s="34"/>
      <c r="I235" s="34"/>
      <c r="J235" s="34"/>
      <c r="K235" s="34"/>
      <c r="L235" s="34"/>
      <c r="M235" s="34"/>
      <c r="N235" s="34"/>
      <c r="O235" s="34"/>
      <c r="P235" s="34"/>
      <c r="Q235" s="34"/>
    </row>
    <row r="236" spans="2:19" x14ac:dyDescent="0.3">
      <c r="B236" s="34" t="s">
        <v>208</v>
      </c>
      <c r="C236" s="34"/>
      <c r="D236" s="58"/>
      <c r="E236" s="58"/>
      <c r="F236" s="34"/>
      <c r="G236" s="34"/>
      <c r="H236" s="34"/>
      <c r="I236" s="34">
        <f>SUM(I228,I225:I226)</f>
        <v>7245</v>
      </c>
      <c r="J236" s="34">
        <f t="shared" ref="J236:S236" si="90">SUM(J228,J225:J226)</f>
        <v>7922.5035074132029</v>
      </c>
      <c r="K236" s="34">
        <f t="shared" si="90"/>
        <v>9302.0385522396537</v>
      </c>
      <c r="L236" s="34">
        <f t="shared" si="90"/>
        <v>10794.558638744509</v>
      </c>
      <c r="M236" s="34">
        <f t="shared" si="90"/>
        <v>12621.296307241486</v>
      </c>
      <c r="N236" s="34">
        <f t="shared" si="90"/>
        <v>14914.650426006167</v>
      </c>
      <c r="O236" s="34">
        <f t="shared" si="90"/>
        <v>17756.235378344598</v>
      </c>
      <c r="P236" s="34">
        <f t="shared" si="90"/>
        <v>21277.826307401996</v>
      </c>
      <c r="Q236" s="34">
        <f t="shared" si="90"/>
        <v>25604.365523196662</v>
      </c>
      <c r="R236" s="34">
        <f t="shared" si="90"/>
        <v>30803.949151607845</v>
      </c>
      <c r="S236" s="34">
        <f t="shared" si="90"/>
        <v>37042.149618824806</v>
      </c>
    </row>
    <row r="237" spans="2:19" ht="6" customHeight="1" x14ac:dyDescent="0.3">
      <c r="B237" s="34"/>
      <c r="C237" s="34"/>
      <c r="D237" s="58"/>
      <c r="E237" s="58"/>
      <c r="F237" s="34"/>
      <c r="G237" s="34"/>
      <c r="H237" s="34"/>
      <c r="I237" s="34"/>
      <c r="J237" s="34"/>
      <c r="K237" s="34"/>
      <c r="L237" s="34"/>
      <c r="M237" s="34"/>
      <c r="N237" s="34"/>
      <c r="O237" s="34"/>
      <c r="P237" s="34"/>
      <c r="Q237" s="34"/>
    </row>
    <row r="238" spans="2:19" x14ac:dyDescent="0.3">
      <c r="B238" s="92"/>
      <c r="C238" s="92"/>
      <c r="D238" s="93"/>
      <c r="E238" s="93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 t="s">
        <v>678</v>
      </c>
      <c r="Q238" s="92"/>
      <c r="R238" s="92"/>
      <c r="S238" s="92"/>
    </row>
    <row r="241" spans="2:19" ht="30" x14ac:dyDescent="0.6">
      <c r="B241" s="21" t="str">
        <f>Cover!$B$8</f>
        <v>ONE 97 COMMUNICATIONS LIMITED</v>
      </c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</row>
    <row r="242" spans="2:19" ht="19" x14ac:dyDescent="0.4">
      <c r="B242" s="44" t="s">
        <v>209</v>
      </c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22"/>
      <c r="S242" s="22"/>
    </row>
    <row r="243" spans="2:19" x14ac:dyDescent="0.3">
      <c r="C243" s="70" t="str">
        <f>"Now running : "&amp;Assumptions!$H$8</f>
        <v>Now running : Base Case Scenario</v>
      </c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</row>
    <row r="244" spans="2:19" ht="15" thickBot="1" x14ac:dyDescent="0.4">
      <c r="B244" s="46" t="s">
        <v>129</v>
      </c>
      <c r="C244" s="47"/>
      <c r="D244" s="57"/>
      <c r="E244" s="5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3"/>
    </row>
    <row r="245" spans="2:19" x14ac:dyDescent="0.3">
      <c r="B245" s="3" t="s">
        <v>130</v>
      </c>
      <c r="C245" s="3"/>
      <c r="D245" s="56"/>
      <c r="E245" s="56"/>
      <c r="F245" s="3"/>
      <c r="G245" s="48">
        <v>1</v>
      </c>
      <c r="H245" s="48">
        <v>2</v>
      </c>
      <c r="I245" s="48">
        <v>3</v>
      </c>
      <c r="J245" s="48">
        <v>4</v>
      </c>
      <c r="K245" s="48">
        <v>5</v>
      </c>
      <c r="L245" s="48">
        <v>6</v>
      </c>
      <c r="M245" s="48">
        <v>7</v>
      </c>
      <c r="N245" s="48">
        <v>8</v>
      </c>
      <c r="O245" s="48">
        <v>9</v>
      </c>
      <c r="P245" s="48">
        <v>10</v>
      </c>
      <c r="Q245" s="48">
        <v>11</v>
      </c>
      <c r="R245" s="48">
        <v>12</v>
      </c>
      <c r="S245" s="48">
        <v>13</v>
      </c>
    </row>
    <row r="246" spans="2:19" x14ac:dyDescent="0.3">
      <c r="B246" s="3"/>
      <c r="C246" s="3"/>
      <c r="D246" s="56"/>
      <c r="E246" s="56"/>
      <c r="F246" s="3"/>
      <c r="G246" s="49">
        <v>45016</v>
      </c>
      <c r="H246" s="49">
        <f t="shared" ref="H246:S246" si="91">EOMONTH(G246,12)</f>
        <v>45382</v>
      </c>
      <c r="I246" s="49">
        <f t="shared" si="91"/>
        <v>45747</v>
      </c>
      <c r="J246" s="49">
        <f t="shared" si="91"/>
        <v>46112</v>
      </c>
      <c r="K246" s="49">
        <f t="shared" si="91"/>
        <v>46477</v>
      </c>
      <c r="L246" s="49">
        <f t="shared" si="91"/>
        <v>46843</v>
      </c>
      <c r="M246" s="49">
        <f t="shared" si="91"/>
        <v>47208</v>
      </c>
      <c r="N246" s="49">
        <f t="shared" si="91"/>
        <v>47573</v>
      </c>
      <c r="O246" s="49">
        <f t="shared" si="91"/>
        <v>47938</v>
      </c>
      <c r="P246" s="49">
        <f t="shared" si="91"/>
        <v>48304</v>
      </c>
      <c r="Q246" s="49">
        <f t="shared" si="91"/>
        <v>48669</v>
      </c>
      <c r="R246" s="49">
        <f t="shared" si="91"/>
        <v>49034</v>
      </c>
      <c r="S246" s="49">
        <f t="shared" si="91"/>
        <v>49399</v>
      </c>
    </row>
    <row r="247" spans="2:19" ht="14.5" x14ac:dyDescent="0.35">
      <c r="B247" s="3"/>
      <c r="C247" s="3"/>
      <c r="D247" s="56"/>
      <c r="E247" s="56"/>
      <c r="F247" s="3"/>
      <c r="G247" s="49"/>
      <c r="H247" s="49"/>
      <c r="I247" s="49"/>
      <c r="J247" s="193" t="s">
        <v>131</v>
      </c>
      <c r="K247" s="194"/>
      <c r="L247" s="194"/>
      <c r="M247" s="194"/>
      <c r="N247" s="194"/>
      <c r="O247" s="194"/>
      <c r="P247" s="194"/>
      <c r="Q247" s="194"/>
      <c r="R247" s="22"/>
      <c r="S247" s="22"/>
    </row>
    <row r="248" spans="2:19" ht="14.5" thickBot="1" x14ac:dyDescent="0.35">
      <c r="B248" s="47"/>
      <c r="C248" s="47"/>
      <c r="D248" s="57"/>
      <c r="E248" s="57"/>
      <c r="F248" s="47"/>
      <c r="G248" s="74">
        <f>YEAR(G246)</f>
        <v>2023</v>
      </c>
      <c r="H248" s="74">
        <f>YEAR(H246)</f>
        <v>2024</v>
      </c>
      <c r="I248" s="74">
        <f>YEAR(I246)</f>
        <v>2025</v>
      </c>
      <c r="J248" s="74">
        <f>YEAR(J246)</f>
        <v>2026</v>
      </c>
      <c r="K248" s="195">
        <f t="shared" ref="K248:S248" si="92">YEAR(K246)</f>
        <v>2027</v>
      </c>
      <c r="L248" s="195">
        <f t="shared" si="92"/>
        <v>2028</v>
      </c>
      <c r="M248" s="195">
        <f t="shared" si="92"/>
        <v>2029</v>
      </c>
      <c r="N248" s="195">
        <f t="shared" si="92"/>
        <v>2030</v>
      </c>
      <c r="O248" s="195">
        <f t="shared" si="92"/>
        <v>2031</v>
      </c>
      <c r="P248" s="195">
        <f t="shared" si="92"/>
        <v>2032</v>
      </c>
      <c r="Q248" s="195">
        <f t="shared" si="92"/>
        <v>2033</v>
      </c>
      <c r="R248" s="195">
        <f t="shared" si="92"/>
        <v>2034</v>
      </c>
      <c r="S248" s="195">
        <f t="shared" si="92"/>
        <v>2035</v>
      </c>
    </row>
    <row r="250" spans="2:19" x14ac:dyDescent="0.3">
      <c r="B250" s="94" t="s">
        <v>210</v>
      </c>
      <c r="C250" s="95"/>
      <c r="D250" s="173"/>
      <c r="E250" s="103">
        <f>Assumptions!H123</f>
        <v>0.25168000000000001</v>
      </c>
    </row>
    <row r="251" spans="2:19" x14ac:dyDescent="0.3">
      <c r="B251" s="3"/>
      <c r="C251" s="3"/>
      <c r="D251" s="56"/>
      <c r="E251" s="3"/>
    </row>
    <row r="252" spans="2:19" s="34" customFormat="1" x14ac:dyDescent="0.3">
      <c r="B252" s="70"/>
      <c r="C252" s="70" t="s">
        <v>211</v>
      </c>
      <c r="D252" s="170"/>
      <c r="E252" s="70"/>
      <c r="J252" s="34">
        <f>'Financial Statements'!J26</f>
        <v>7700</v>
      </c>
      <c r="K252" s="34">
        <f>'Financial Statements'!K26</f>
        <v>17093.472282167604</v>
      </c>
      <c r="L252" s="34">
        <f>'Financial Statements'!L26</f>
        <v>25392.055648657231</v>
      </c>
      <c r="M252" s="34">
        <f>'Financial Statements'!M26</f>
        <v>34254.343379604645</v>
      </c>
      <c r="N252" s="34">
        <f>'Financial Statements'!N26</f>
        <v>45504.27458147562</v>
      </c>
      <c r="O252" s="34">
        <f>'Financial Statements'!O26</f>
        <v>55644.687419009613</v>
      </c>
      <c r="P252" s="34">
        <f>'Financial Statements'!P26</f>
        <v>74067.109917236332</v>
      </c>
      <c r="Q252" s="34">
        <f>'Financial Statements'!Q23</f>
        <v>61612.443588505055</v>
      </c>
      <c r="R252" s="34">
        <f>'Financial Statements'!R23</f>
        <v>70017.619517204585</v>
      </c>
      <c r="S252" s="34">
        <f>'Financial Statements'!S23</f>
        <v>87030.797373361609</v>
      </c>
    </row>
    <row r="253" spans="2:19" x14ac:dyDescent="0.3">
      <c r="B253" s="3"/>
      <c r="C253" s="3" t="s">
        <v>212</v>
      </c>
      <c r="D253" s="56"/>
      <c r="E253" s="3"/>
      <c r="J253" s="18">
        <f>J268</f>
        <v>7700</v>
      </c>
      <c r="K253" s="18">
        <f t="shared" ref="K253:S253" si="93">K268</f>
        <v>17093.472282167604</v>
      </c>
      <c r="L253" s="18">
        <f t="shared" si="93"/>
        <v>6484.5277178323959</v>
      </c>
      <c r="M253" s="18">
        <f t="shared" si="93"/>
        <v>0</v>
      </c>
      <c r="N253" s="18">
        <f t="shared" si="93"/>
        <v>0</v>
      </c>
      <c r="O253" s="18">
        <f t="shared" si="93"/>
        <v>0</v>
      </c>
      <c r="P253" s="18">
        <f t="shared" si="93"/>
        <v>0</v>
      </c>
      <c r="Q253" s="18">
        <f t="shared" si="93"/>
        <v>0</v>
      </c>
      <c r="R253" s="18">
        <f t="shared" si="93"/>
        <v>0</v>
      </c>
      <c r="S253" s="18">
        <f t="shared" si="93"/>
        <v>0</v>
      </c>
    </row>
    <row r="254" spans="2:19" x14ac:dyDescent="0.3">
      <c r="B254" s="3"/>
      <c r="C254" s="3" t="s">
        <v>213</v>
      </c>
      <c r="D254" s="56"/>
      <c r="E254" s="3"/>
      <c r="J254" s="18">
        <f>IF(J253=0,0,J252*Assumptions!$H$125)</f>
        <v>2114.42</v>
      </c>
      <c r="K254" s="18">
        <f>IF(K253=0,0,K252*Assumptions!$H$125)</f>
        <v>4693.8674886832241</v>
      </c>
      <c r="L254" s="18">
        <f>IF(L253=0,0,L252*Assumptions!$H$125)</f>
        <v>6972.6584811212761</v>
      </c>
      <c r="M254" s="18">
        <f>IF(M253=0,0,M252*Assumptions!$H$125)</f>
        <v>0</v>
      </c>
      <c r="N254" s="18">
        <f>IF(N253=0,0,N252*Assumptions!$H$125)</f>
        <v>0</v>
      </c>
      <c r="O254" s="18">
        <f>IF(O253=0,0,O252*Assumptions!$H$125)</f>
        <v>0</v>
      </c>
      <c r="P254" s="18">
        <f>IF(P253=0,0,P252*Assumptions!$H$125)</f>
        <v>0</v>
      </c>
      <c r="Q254" s="18">
        <f>IF(Q253=0,0,Q252*Assumptions!$H$125)</f>
        <v>0</v>
      </c>
    </row>
    <row r="255" spans="2:19" s="34" customFormat="1" x14ac:dyDescent="0.3">
      <c r="B255" s="70"/>
      <c r="C255" s="70" t="s">
        <v>211</v>
      </c>
      <c r="D255" s="170"/>
      <c r="E255" s="70"/>
      <c r="J255" s="34">
        <f>J252-J253+J254</f>
        <v>2114.42</v>
      </c>
      <c r="K255" s="34">
        <f t="shared" ref="K255:S255" si="94">K252-K253+K254</f>
        <v>4693.8674886832241</v>
      </c>
      <c r="L255" s="34">
        <f t="shared" si="94"/>
        <v>25880.18641194611</v>
      </c>
      <c r="M255" s="34">
        <f t="shared" si="94"/>
        <v>34254.343379604645</v>
      </c>
      <c r="N255" s="34">
        <f t="shared" si="94"/>
        <v>45504.27458147562</v>
      </c>
      <c r="O255" s="34">
        <f t="shared" si="94"/>
        <v>55644.687419009613</v>
      </c>
      <c r="P255" s="34">
        <f t="shared" si="94"/>
        <v>74067.109917236332</v>
      </c>
      <c r="Q255" s="34">
        <f t="shared" si="94"/>
        <v>61612.443588505055</v>
      </c>
      <c r="R255" s="34">
        <f t="shared" si="94"/>
        <v>70017.619517204585</v>
      </c>
      <c r="S255" s="34">
        <f t="shared" si="94"/>
        <v>87030.797373361609</v>
      </c>
    </row>
    <row r="256" spans="2:19" x14ac:dyDescent="0.3">
      <c r="B256" s="3"/>
      <c r="C256" s="3" t="s">
        <v>214</v>
      </c>
      <c r="D256" s="56"/>
      <c r="E256" s="3"/>
      <c r="J256" s="18">
        <f>IF(J269=0,J255*Assumptions!$H$126,0)</f>
        <v>0</v>
      </c>
      <c r="K256" s="18">
        <f>IF(K269=0,K255*Assumptions!$H$126,0)</f>
        <v>0</v>
      </c>
      <c r="L256" s="18">
        <f>IF(L269=0,L255*Assumptions!$H$126,0)</f>
        <v>1294.0093205973055</v>
      </c>
      <c r="M256" s="18">
        <f>IF(M269=0,M255*Assumptions!$H$126,0)</f>
        <v>1712.7171689802324</v>
      </c>
      <c r="N256" s="18">
        <f>IF(N269=0,N255*Assumptions!$H$126,0)</f>
        <v>2275.213729073781</v>
      </c>
      <c r="O256" s="18">
        <f>IF(O269=0,O255*Assumptions!$H$126,0)</f>
        <v>2782.2343709504808</v>
      </c>
      <c r="P256" s="18">
        <f>IF(P269=0,P255*Assumptions!$H$126,0)</f>
        <v>3703.355495861817</v>
      </c>
      <c r="Q256" s="18">
        <f>IF(Q269=0,Q255*Assumptions!$H$126,0)</f>
        <v>3080.6221794252529</v>
      </c>
      <c r="R256" s="18">
        <f>IF(R269=0,R255*Assumptions!$H$126,0)</f>
        <v>3500.8809758602292</v>
      </c>
      <c r="S256" s="18">
        <f>IF(S269=0,S255*Assumptions!$H$126,0)</f>
        <v>4351.539868668081</v>
      </c>
    </row>
    <row r="257" spans="2:19" x14ac:dyDescent="0.3">
      <c r="B257" s="70"/>
      <c r="C257" s="70" t="s">
        <v>215</v>
      </c>
      <c r="D257" s="170"/>
      <c r="E257" s="70"/>
      <c r="F257" s="34"/>
      <c r="G257" s="34"/>
      <c r="H257" s="34"/>
      <c r="I257" s="34"/>
      <c r="J257" s="65">
        <f>J255-J256</f>
        <v>2114.42</v>
      </c>
      <c r="K257" s="65">
        <f t="shared" ref="K257:S257" si="95">K255-K256</f>
        <v>4693.8674886832241</v>
      </c>
      <c r="L257" s="65">
        <f t="shared" si="95"/>
        <v>24586.177091348804</v>
      </c>
      <c r="M257" s="65">
        <f t="shared" si="95"/>
        <v>32541.626210624414</v>
      </c>
      <c r="N257" s="65">
        <f t="shared" si="95"/>
        <v>43229.060852401839</v>
      </c>
      <c r="O257" s="65">
        <f t="shared" si="95"/>
        <v>52862.453048059135</v>
      </c>
      <c r="P257" s="65">
        <f t="shared" si="95"/>
        <v>70363.754421374513</v>
      </c>
      <c r="Q257" s="65">
        <f t="shared" si="95"/>
        <v>58531.821409079799</v>
      </c>
      <c r="R257" s="65">
        <f t="shared" si="95"/>
        <v>66516.738541344355</v>
      </c>
      <c r="S257" s="65">
        <f t="shared" si="95"/>
        <v>82679.257504693524</v>
      </c>
    </row>
    <row r="258" spans="2:19" x14ac:dyDescent="0.3">
      <c r="B258" s="3"/>
      <c r="C258" s="3"/>
      <c r="D258" s="56"/>
      <c r="E258" s="3"/>
    </row>
    <row r="259" spans="2:19" x14ac:dyDescent="0.3">
      <c r="B259" s="3"/>
      <c r="C259" s="3" t="s">
        <v>216</v>
      </c>
      <c r="D259" s="56"/>
      <c r="E259" s="3"/>
      <c r="J259" s="18">
        <f>J255*$E$250</f>
        <v>532.15722560000006</v>
      </c>
      <c r="K259" s="18">
        <f t="shared" ref="K259:S259" si="96">K255*$E$250</f>
        <v>1181.352569551794</v>
      </c>
      <c r="L259" s="18">
        <f t="shared" si="96"/>
        <v>6513.525316158597</v>
      </c>
      <c r="M259" s="18">
        <f t="shared" si="96"/>
        <v>8621.133141778897</v>
      </c>
      <c r="N259" s="18">
        <f t="shared" si="96"/>
        <v>11452.515826665785</v>
      </c>
      <c r="O259" s="18">
        <f t="shared" si="96"/>
        <v>14004.654929616341</v>
      </c>
      <c r="P259" s="18">
        <f t="shared" si="96"/>
        <v>18641.21022397004</v>
      </c>
      <c r="Q259" s="18">
        <f t="shared" si="96"/>
        <v>15506.619802354953</v>
      </c>
      <c r="R259" s="18">
        <f t="shared" si="96"/>
        <v>17622.034480090049</v>
      </c>
      <c r="S259" s="18">
        <f t="shared" si="96"/>
        <v>21903.911082927651</v>
      </c>
    </row>
    <row r="260" spans="2:19" x14ac:dyDescent="0.3">
      <c r="B260" s="3"/>
      <c r="C260" s="3"/>
      <c r="D260" s="56"/>
      <c r="E260" s="3"/>
    </row>
    <row r="261" spans="2:19" x14ac:dyDescent="0.3">
      <c r="B261" s="3"/>
      <c r="C261" s="66" t="s">
        <v>217</v>
      </c>
      <c r="D261" s="171"/>
      <c r="E261" s="67"/>
      <c r="F261" s="8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115"/>
    </row>
    <row r="262" spans="2:19" x14ac:dyDescent="0.3">
      <c r="B262" s="3"/>
      <c r="C262" s="79" t="s">
        <v>218</v>
      </c>
      <c r="D262" s="56"/>
      <c r="E262" s="3"/>
      <c r="J262" s="18">
        <f>J257*$E$250</f>
        <v>532.15722560000006</v>
      </c>
      <c r="K262" s="18">
        <f t="shared" ref="K262:S262" si="97">K257*$E$250</f>
        <v>1181.352569551794</v>
      </c>
      <c r="L262" s="18">
        <f t="shared" si="97"/>
        <v>6187.8490503506673</v>
      </c>
      <c r="M262" s="18">
        <f t="shared" si="97"/>
        <v>8190.0764846899528</v>
      </c>
      <c r="N262" s="18">
        <f t="shared" si="97"/>
        <v>10879.890035332495</v>
      </c>
      <c r="O262" s="18">
        <f t="shared" si="97"/>
        <v>13304.422183135524</v>
      </c>
      <c r="P262" s="18">
        <f t="shared" si="97"/>
        <v>17709.149712771537</v>
      </c>
      <c r="Q262" s="18">
        <f t="shared" si="97"/>
        <v>14731.288812237204</v>
      </c>
      <c r="R262" s="18">
        <f t="shared" si="97"/>
        <v>16740.932756085549</v>
      </c>
      <c r="S262" s="116">
        <f t="shared" si="97"/>
        <v>20808.715528781267</v>
      </c>
    </row>
    <row r="263" spans="2:19" x14ac:dyDescent="0.3">
      <c r="B263" s="3"/>
      <c r="C263" s="79" t="s">
        <v>219</v>
      </c>
      <c r="D263" s="56"/>
      <c r="E263" s="3"/>
      <c r="J263" s="18">
        <f>J259-J262</f>
        <v>0</v>
      </c>
      <c r="K263" s="18">
        <f t="shared" ref="K263:S263" si="98">K259-K262</f>
        <v>0</v>
      </c>
      <c r="L263" s="18">
        <f t="shared" si="98"/>
        <v>325.67626580792967</v>
      </c>
      <c r="M263" s="18">
        <f t="shared" si="98"/>
        <v>431.05665708894412</v>
      </c>
      <c r="N263" s="18">
        <f t="shared" si="98"/>
        <v>572.62579133329018</v>
      </c>
      <c r="O263" s="18">
        <f t="shared" si="98"/>
        <v>700.23274648081679</v>
      </c>
      <c r="P263" s="18">
        <f t="shared" si="98"/>
        <v>932.06051119850235</v>
      </c>
      <c r="Q263" s="18">
        <f t="shared" si="98"/>
        <v>775.33099011774902</v>
      </c>
      <c r="R263" s="18">
        <f t="shared" si="98"/>
        <v>881.10172400450028</v>
      </c>
      <c r="S263" s="116">
        <f t="shared" si="98"/>
        <v>1095.1955541463831</v>
      </c>
    </row>
    <row r="264" spans="2:19" x14ac:dyDescent="0.3">
      <c r="B264" s="70"/>
      <c r="C264" s="96" t="s">
        <v>220</v>
      </c>
      <c r="D264" s="174"/>
      <c r="E264" s="97"/>
      <c r="F264" s="92"/>
      <c r="G264" s="92"/>
      <c r="H264" s="92"/>
      <c r="I264" s="92"/>
      <c r="J264" s="98">
        <f>J259</f>
        <v>532.15722560000006</v>
      </c>
      <c r="K264" s="98">
        <f t="shared" ref="K264:S264" si="99">K259</f>
        <v>1181.352569551794</v>
      </c>
      <c r="L264" s="98">
        <f t="shared" si="99"/>
        <v>6513.525316158597</v>
      </c>
      <c r="M264" s="98">
        <f t="shared" si="99"/>
        <v>8621.133141778897</v>
      </c>
      <c r="N264" s="98">
        <f t="shared" si="99"/>
        <v>11452.515826665785</v>
      </c>
      <c r="O264" s="98">
        <f t="shared" si="99"/>
        <v>14004.654929616341</v>
      </c>
      <c r="P264" s="98">
        <f t="shared" si="99"/>
        <v>18641.21022397004</v>
      </c>
      <c r="Q264" s="98">
        <f t="shared" si="99"/>
        <v>15506.619802354953</v>
      </c>
      <c r="R264" s="98">
        <f t="shared" si="99"/>
        <v>17622.034480090049</v>
      </c>
      <c r="S264" s="200">
        <f t="shared" si="99"/>
        <v>21903.911082927651</v>
      </c>
    </row>
    <row r="265" spans="2:19" x14ac:dyDescent="0.3">
      <c r="B265" s="3"/>
      <c r="C265" s="3"/>
      <c r="D265" s="56"/>
      <c r="E265" s="3"/>
    </row>
    <row r="266" spans="2:19" x14ac:dyDescent="0.3">
      <c r="B266" s="3"/>
      <c r="C266" s="3" t="s">
        <v>221</v>
      </c>
      <c r="D266" s="56"/>
      <c r="E266" s="3"/>
    </row>
    <row r="267" spans="2:19" x14ac:dyDescent="0.3">
      <c r="B267" s="3"/>
      <c r="C267" s="3" t="s">
        <v>222</v>
      </c>
      <c r="D267" s="56"/>
      <c r="E267" s="3"/>
      <c r="J267" s="18">
        <f>I269</f>
        <v>31278</v>
      </c>
      <c r="K267" s="18">
        <f>J269</f>
        <v>23578</v>
      </c>
      <c r="L267" s="18">
        <f t="shared" ref="L267:Q267" si="100">K269</f>
        <v>6484.5277178323959</v>
      </c>
      <c r="M267" s="18">
        <f t="shared" si="100"/>
        <v>0</v>
      </c>
      <c r="N267" s="18">
        <f t="shared" si="100"/>
        <v>0</v>
      </c>
      <c r="O267" s="18">
        <f t="shared" si="100"/>
        <v>0</v>
      </c>
      <c r="P267" s="18">
        <f t="shared" si="100"/>
        <v>0</v>
      </c>
      <c r="Q267" s="18">
        <f t="shared" si="100"/>
        <v>0</v>
      </c>
      <c r="R267" s="18">
        <f>Q269</f>
        <v>0</v>
      </c>
      <c r="S267" s="18">
        <f>R269</f>
        <v>0</v>
      </c>
    </row>
    <row r="268" spans="2:19" x14ac:dyDescent="0.3">
      <c r="B268" s="3"/>
      <c r="C268" s="3" t="s">
        <v>223</v>
      </c>
      <c r="D268" s="56"/>
      <c r="E268" s="3"/>
      <c r="J268" s="18">
        <f>MIN(IF(J252&gt;0,J252,IF(J252&lt;0,VLOOKUP(J248,'Raw Data'!$A$161:$B$170,2,FALSE))),J267)</f>
        <v>7700</v>
      </c>
      <c r="K268" s="18">
        <f>MIN(IF(K252&gt;0,K252,IF(K252&lt;0,VLOOKUP(K248,'Raw Data'!$A$161:$B$170,2,FALSE))),K267)</f>
        <v>17093.472282167604</v>
      </c>
      <c r="L268" s="18">
        <f>MIN(IF(L252&gt;0,L252,IF(L252&lt;0,VLOOKUP(L248,'Raw Data'!$A$161:$B$170,2,FALSE))),L267)</f>
        <v>6484.5277178323959</v>
      </c>
      <c r="M268" s="18">
        <f>MIN(IF(M252&gt;0,M252,IF(M252&lt;0,VLOOKUP(M248,'Raw Data'!$A$161:$B$170,2,FALSE))),M267)</f>
        <v>0</v>
      </c>
      <c r="N268" s="18">
        <f>MIN(IF(N252&gt;0,N252,IF(N252&lt;0,VLOOKUP(N248,'Raw Data'!$A$161:$B$170,2,FALSE))),N267)</f>
        <v>0</v>
      </c>
      <c r="O268" s="18">
        <f>MIN(IF(O252&gt;0,O252,IF(O252&lt;0,VLOOKUP(O248,'Raw Data'!$A$161:$B$170,2,FALSE))),O267)</f>
        <v>0</v>
      </c>
      <c r="P268" s="18">
        <f>MIN(IF(P252&gt;0,P252,IF(P252&lt;0,VLOOKUP(P248,'Raw Data'!$A$161:$B$170,2,FALSE))),P267)</f>
        <v>0</v>
      </c>
      <c r="Q268" s="18">
        <f>MIN(IF(Q252&gt;0,Q252,IF(Q252&lt;0,VLOOKUP(Q248,'Raw Data'!$A$161:$B$170,2,FALSE))),Q267)</f>
        <v>0</v>
      </c>
      <c r="R268" s="18">
        <f>MIN(IF(R252&gt;0,R252,IF(R252&lt;0,VLOOKUP(R248,'Raw Data'!$A$161:$B$170,2,FALSE))),R267)</f>
        <v>0</v>
      </c>
      <c r="S268" s="18">
        <f>MIN(IF(S252&gt;0,S252,IF(S252&lt;0,VLOOKUP(S248,'Raw Data'!$A$161:$B$170,2,FALSE))),S267)</f>
        <v>0</v>
      </c>
    </row>
    <row r="269" spans="2:19" x14ac:dyDescent="0.3">
      <c r="B269" s="3"/>
      <c r="C269" s="3" t="s">
        <v>224</v>
      </c>
      <c r="D269" s="56"/>
      <c r="E269" s="3"/>
      <c r="I269" s="18">
        <v>31278</v>
      </c>
      <c r="J269" s="18">
        <f>MAX(J267-J268,0)</f>
        <v>23578</v>
      </c>
      <c r="K269" s="18">
        <f t="shared" ref="K269:S269" si="101">MAX(K267-K268,0)</f>
        <v>6484.5277178323959</v>
      </c>
      <c r="L269" s="18">
        <f t="shared" si="101"/>
        <v>0</v>
      </c>
      <c r="M269" s="18">
        <f t="shared" si="101"/>
        <v>0</v>
      </c>
      <c r="N269" s="18">
        <f t="shared" si="101"/>
        <v>0</v>
      </c>
      <c r="O269" s="18">
        <f t="shared" si="101"/>
        <v>0</v>
      </c>
      <c r="P269" s="18">
        <f t="shared" si="101"/>
        <v>0</v>
      </c>
      <c r="Q269" s="18">
        <f t="shared" si="101"/>
        <v>0</v>
      </c>
      <c r="R269" s="18">
        <f t="shared" si="101"/>
        <v>0</v>
      </c>
      <c r="S269" s="18">
        <f t="shared" si="101"/>
        <v>0</v>
      </c>
    </row>
    <row r="270" spans="2:19" ht="6" customHeight="1" x14ac:dyDescent="0.3">
      <c r="B270" s="3"/>
      <c r="C270" s="3"/>
      <c r="D270" s="56"/>
      <c r="E270" s="3"/>
    </row>
    <row r="271" spans="2:19" x14ac:dyDescent="0.3">
      <c r="B271" s="92"/>
      <c r="C271" s="92"/>
      <c r="D271" s="93"/>
      <c r="E271" s="93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  <c r="R271" s="92"/>
      <c r="S271" s="92"/>
    </row>
    <row r="274" spans="2:19" ht="30" x14ac:dyDescent="0.6">
      <c r="B274" s="21" t="str">
        <f>Cover!$B$8</f>
        <v>ONE 97 COMMUNICATIONS LIMITED</v>
      </c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</row>
    <row r="275" spans="2:19" ht="19" x14ac:dyDescent="0.4">
      <c r="B275" s="44" t="s">
        <v>225</v>
      </c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22"/>
      <c r="S275" s="22"/>
    </row>
    <row r="276" spans="2:19" x14ac:dyDescent="0.3">
      <c r="B276" s="70" t="str">
        <f>"Now running : "&amp;Assumptions!$H$8</f>
        <v>Now running : Base Case Scenario</v>
      </c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</row>
    <row r="277" spans="2:19" ht="15" thickBot="1" x14ac:dyDescent="0.4">
      <c r="B277" s="46" t="s">
        <v>129</v>
      </c>
      <c r="C277" s="47"/>
      <c r="D277" s="57"/>
      <c r="E277" s="5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3"/>
    </row>
    <row r="278" spans="2:19" x14ac:dyDescent="0.3">
      <c r="B278" s="3" t="s">
        <v>130</v>
      </c>
      <c r="C278" s="3"/>
      <c r="D278" s="56"/>
      <c r="E278" s="56"/>
      <c r="F278" s="3"/>
      <c r="G278" s="48">
        <v>1</v>
      </c>
      <c r="H278" s="48">
        <v>2</v>
      </c>
      <c r="I278" s="48">
        <v>3</v>
      </c>
      <c r="J278" s="48">
        <v>4</v>
      </c>
      <c r="K278" s="48">
        <v>5</v>
      </c>
      <c r="L278" s="48">
        <v>6</v>
      </c>
      <c r="M278" s="48">
        <v>7</v>
      </c>
      <c r="N278" s="48">
        <v>8</v>
      </c>
      <c r="O278" s="48">
        <v>9</v>
      </c>
      <c r="P278" s="48">
        <v>10</v>
      </c>
      <c r="Q278" s="48">
        <v>11</v>
      </c>
      <c r="R278" s="48">
        <v>12</v>
      </c>
      <c r="S278" s="48">
        <v>13</v>
      </c>
    </row>
    <row r="279" spans="2:19" x14ac:dyDescent="0.3">
      <c r="B279" s="3"/>
      <c r="C279" s="3"/>
      <c r="D279" s="56"/>
      <c r="E279" s="56"/>
      <c r="F279" s="3"/>
      <c r="G279" s="49">
        <v>45016</v>
      </c>
      <c r="H279" s="49">
        <f t="shared" ref="H279:S279" si="102">EOMONTH(G279,12)</f>
        <v>45382</v>
      </c>
      <c r="I279" s="49">
        <f t="shared" si="102"/>
        <v>45747</v>
      </c>
      <c r="J279" s="49">
        <f t="shared" si="102"/>
        <v>46112</v>
      </c>
      <c r="K279" s="49">
        <f t="shared" si="102"/>
        <v>46477</v>
      </c>
      <c r="L279" s="49">
        <f t="shared" si="102"/>
        <v>46843</v>
      </c>
      <c r="M279" s="49">
        <f t="shared" si="102"/>
        <v>47208</v>
      </c>
      <c r="N279" s="49">
        <f t="shared" si="102"/>
        <v>47573</v>
      </c>
      <c r="O279" s="49">
        <f t="shared" si="102"/>
        <v>47938</v>
      </c>
      <c r="P279" s="49">
        <f t="shared" si="102"/>
        <v>48304</v>
      </c>
      <c r="Q279" s="49">
        <f t="shared" si="102"/>
        <v>48669</v>
      </c>
      <c r="R279" s="49">
        <f t="shared" si="102"/>
        <v>49034</v>
      </c>
      <c r="S279" s="49">
        <f t="shared" si="102"/>
        <v>49399</v>
      </c>
    </row>
    <row r="280" spans="2:19" ht="14.5" x14ac:dyDescent="0.35">
      <c r="B280" s="3"/>
      <c r="C280" s="3"/>
      <c r="D280" s="56"/>
      <c r="E280" s="56"/>
      <c r="F280" s="3"/>
      <c r="G280" s="49"/>
      <c r="H280" s="49"/>
      <c r="I280" s="49"/>
      <c r="J280" s="193" t="s">
        <v>131</v>
      </c>
      <c r="K280" s="194"/>
      <c r="L280" s="194"/>
      <c r="M280" s="194"/>
      <c r="N280" s="194"/>
      <c r="O280" s="194"/>
      <c r="P280" s="194"/>
      <c r="Q280" s="194"/>
      <c r="R280" s="22"/>
      <c r="S280" s="22"/>
    </row>
    <row r="281" spans="2:19" ht="14.5" thickBot="1" x14ac:dyDescent="0.35">
      <c r="B281" s="47"/>
      <c r="C281" s="47"/>
      <c r="D281" s="57"/>
      <c r="E281" s="57"/>
      <c r="F281" s="47"/>
      <c r="G281" s="74">
        <f>YEAR(G279)</f>
        <v>2023</v>
      </c>
      <c r="H281" s="74">
        <f>YEAR(H279)</f>
        <v>2024</v>
      </c>
      <c r="I281" s="74">
        <f>YEAR(I279)</f>
        <v>2025</v>
      </c>
      <c r="J281" s="74">
        <f>YEAR(J279)</f>
        <v>2026</v>
      </c>
      <c r="K281" s="195">
        <f t="shared" ref="K281:S281" si="103">YEAR(K279)</f>
        <v>2027</v>
      </c>
      <c r="L281" s="195">
        <f t="shared" si="103"/>
        <v>2028</v>
      </c>
      <c r="M281" s="195">
        <f t="shared" si="103"/>
        <v>2029</v>
      </c>
      <c r="N281" s="195">
        <f t="shared" si="103"/>
        <v>2030</v>
      </c>
      <c r="O281" s="195">
        <f t="shared" si="103"/>
        <v>2031</v>
      </c>
      <c r="P281" s="195">
        <f t="shared" si="103"/>
        <v>2032</v>
      </c>
      <c r="Q281" s="195">
        <f t="shared" si="103"/>
        <v>2033</v>
      </c>
      <c r="R281" s="195">
        <f t="shared" si="103"/>
        <v>2034</v>
      </c>
      <c r="S281" s="195">
        <f t="shared" si="103"/>
        <v>2035</v>
      </c>
    </row>
    <row r="282" spans="2:19" x14ac:dyDescent="0.3">
      <c r="C282" s="3"/>
    </row>
    <row r="283" spans="2:19" x14ac:dyDescent="0.3">
      <c r="B283" s="94" t="s">
        <v>484</v>
      </c>
      <c r="C283" s="95"/>
      <c r="D283" s="175" t="s">
        <v>485</v>
      </c>
      <c r="E283" s="95"/>
      <c r="F283" s="113"/>
      <c r="G283" s="113"/>
      <c r="H283" s="113"/>
      <c r="I283" s="113">
        <f t="shared" ref="I283:Q283" si="104">I279-H279</f>
        <v>365</v>
      </c>
      <c r="J283" s="113">
        <f t="shared" si="104"/>
        <v>365</v>
      </c>
      <c r="K283" s="113">
        <f t="shared" si="104"/>
        <v>365</v>
      </c>
      <c r="L283" s="113">
        <f t="shared" si="104"/>
        <v>366</v>
      </c>
      <c r="M283" s="113">
        <f t="shared" si="104"/>
        <v>365</v>
      </c>
      <c r="N283" s="113">
        <f t="shared" si="104"/>
        <v>365</v>
      </c>
      <c r="O283" s="113">
        <f t="shared" si="104"/>
        <v>365</v>
      </c>
      <c r="P283" s="113">
        <f t="shared" si="104"/>
        <v>366</v>
      </c>
      <c r="Q283" s="113">
        <f t="shared" si="104"/>
        <v>365</v>
      </c>
      <c r="R283" s="113">
        <f>R279-Q279</f>
        <v>365</v>
      </c>
      <c r="S283" s="121">
        <f>S279-R279</f>
        <v>365</v>
      </c>
    </row>
    <row r="285" spans="2:19" x14ac:dyDescent="0.3">
      <c r="B285" s="70" t="s">
        <v>486</v>
      </c>
      <c r="C285" s="3"/>
      <c r="D285" s="56"/>
      <c r="E285" s="3"/>
    </row>
    <row r="286" spans="2:19" x14ac:dyDescent="0.3">
      <c r="B286" s="70"/>
      <c r="C286" s="3" t="s">
        <v>79</v>
      </c>
      <c r="D286" s="56"/>
      <c r="E286" s="3"/>
      <c r="I286" s="18">
        <f>'Financial Statements'!I11</f>
        <v>69004</v>
      </c>
      <c r="J286" s="18">
        <f>'Financial Statements'!J11</f>
        <v>84370</v>
      </c>
      <c r="K286" s="18">
        <f>'Financial Statements'!K11</f>
        <v>105407.24152541082</v>
      </c>
      <c r="L286" s="18">
        <f>'Financial Statements'!L11</f>
        <v>131013.05545042307</v>
      </c>
      <c r="M286" s="18">
        <f>'Financial Statements'!M11</f>
        <v>158592.23803931684</v>
      </c>
      <c r="N286" s="18">
        <f>'Financial Statements'!N11</f>
        <v>190853.35280077794</v>
      </c>
      <c r="O286" s="18">
        <f>'Financial Statements'!O11</f>
        <v>221683.35242003284</v>
      </c>
      <c r="P286" s="18">
        <f>'Financial Statements'!P11</f>
        <v>265549.3871259091</v>
      </c>
      <c r="Q286" s="18">
        <f>'Financial Statements'!Q11</f>
        <v>304355.93069237191</v>
      </c>
      <c r="R286" s="18">
        <f>'Financial Statements'!R11</f>
        <v>343102.65571900061</v>
      </c>
      <c r="S286" s="18">
        <f>'Financial Statements'!S11</f>
        <v>385331.15019755653</v>
      </c>
    </row>
    <row r="287" spans="2:19" x14ac:dyDescent="0.3">
      <c r="B287" s="3"/>
      <c r="C287" s="3" t="s">
        <v>160</v>
      </c>
      <c r="D287" s="56"/>
      <c r="E287" s="3"/>
      <c r="I287" s="18">
        <f>'Financial Statements'!I13</f>
        <v>32424.586603916294</v>
      </c>
      <c r="J287" s="18">
        <f>'Financial Statements'!J13</f>
        <v>35770</v>
      </c>
      <c r="K287" s="18">
        <f>'Financial Statements'!K13</f>
        <v>39321.308716692882</v>
      </c>
      <c r="L287" s="18">
        <f>'Financial Statements'!L13</f>
        <v>47794.590343754462</v>
      </c>
      <c r="M287" s="18">
        <f>'Financial Statements'!M13</f>
        <v>56179.618520251388</v>
      </c>
      <c r="N287" s="18">
        <f>'Financial Statements'!N13</f>
        <v>65647.979340898062</v>
      </c>
      <c r="O287" s="18">
        <f>'Financial Statements'!O13</f>
        <v>75227.766061670001</v>
      </c>
      <c r="P287" s="18">
        <f>'Financial Statements'!P13</f>
        <v>85128.59763580974</v>
      </c>
      <c r="Q287" s="18">
        <f>'Financial Statements'!Q13</f>
        <v>96358.220476518676</v>
      </c>
      <c r="R287" s="18">
        <f>'Financial Statements'!R13</f>
        <v>107822.16849244658</v>
      </c>
      <c r="S287" s="18">
        <f>'Financial Statements'!S13</f>
        <v>120502.59692740705</v>
      </c>
    </row>
    <row r="288" spans="2:19" x14ac:dyDescent="0.3">
      <c r="B288" s="3"/>
      <c r="C288" s="3" t="s">
        <v>165</v>
      </c>
      <c r="D288" s="56"/>
      <c r="E288" s="3"/>
      <c r="I288" s="18">
        <f>'Financial Statements'!I16</f>
        <v>51644.413396083706</v>
      </c>
      <c r="J288" s="18">
        <f>'Financial Statements'!J16</f>
        <v>43580</v>
      </c>
      <c r="K288" s="18">
        <f>'Financial Statements'!K16</f>
        <v>50885.345846392076</v>
      </c>
      <c r="L288" s="18">
        <f>'Financial Statements'!L16</f>
        <v>59767.428046174944</v>
      </c>
      <c r="M288" s="18">
        <f>'Financial Statements'!M16</f>
        <v>69474.413611084616</v>
      </c>
      <c r="N288" s="18">
        <f>'Financial Statements'!N16</f>
        <v>80562.911254623934</v>
      </c>
      <c r="O288" s="18">
        <f>'Financial Statements'!O16</f>
        <v>91600.17700704762</v>
      </c>
      <c r="P288" s="18">
        <f>'Financial Statements'!P16</f>
        <v>107800.51134094926</v>
      </c>
      <c r="Q288" s="18">
        <f>'Financial Statements'!Q16</f>
        <v>123510.00388775879</v>
      </c>
      <c r="R288" s="18">
        <f>'Financial Statements'!R16</f>
        <v>139183.97638190235</v>
      </c>
      <c r="S288" s="18">
        <f>'Financial Statements'!S16</f>
        <v>148352.49282605929</v>
      </c>
    </row>
    <row r="289" spans="2:20" x14ac:dyDescent="0.3">
      <c r="B289" s="3"/>
      <c r="C289" s="3"/>
      <c r="D289" s="56"/>
      <c r="E289" s="3"/>
      <c r="I289" s="27"/>
      <c r="J289" s="27"/>
      <c r="K289" s="27"/>
      <c r="L289" s="27"/>
      <c r="M289" s="27"/>
      <c r="N289" s="27"/>
      <c r="O289" s="27"/>
      <c r="P289" s="27"/>
      <c r="Q289" s="27"/>
      <c r="R289" s="27"/>
      <c r="S289" s="27"/>
      <c r="T289" s="27"/>
    </row>
    <row r="290" spans="2:20" x14ac:dyDescent="0.3">
      <c r="B290" s="70" t="s">
        <v>487</v>
      </c>
      <c r="C290" s="3"/>
      <c r="D290" s="56"/>
      <c r="E290" s="3"/>
      <c r="I290" s="27"/>
      <c r="J290" s="27"/>
      <c r="K290" s="27"/>
      <c r="L290" s="27"/>
      <c r="M290" s="27"/>
      <c r="N290" s="27"/>
      <c r="O290" s="27"/>
      <c r="P290" s="27"/>
      <c r="Q290" s="27"/>
    </row>
    <row r="291" spans="2:20" x14ac:dyDescent="0.3">
      <c r="B291" s="3"/>
      <c r="C291" s="3" t="s">
        <v>488</v>
      </c>
      <c r="D291" s="56" t="s">
        <v>485</v>
      </c>
      <c r="E291" s="3"/>
      <c r="I291" s="18">
        <f>I301/I286*I283</f>
        <v>68.600153614283229</v>
      </c>
      <c r="J291" s="18">
        <f t="shared" ref="J291:J298" si="105">I291+($S291-$I291)/COUNT($J$278:$S$278)</f>
        <v>67.740138252854905</v>
      </c>
      <c r="K291" s="18">
        <f t="shared" ref="K291:R291" si="106">J291+($S291-$I291)/COUNT($J$278:$S$278)</f>
        <v>66.880122891426581</v>
      </c>
      <c r="L291" s="18">
        <f t="shared" si="106"/>
        <v>66.020107529998256</v>
      </c>
      <c r="M291" s="18">
        <f t="shared" si="106"/>
        <v>65.160092168569932</v>
      </c>
      <c r="N291" s="18">
        <f t="shared" si="106"/>
        <v>64.300076807141608</v>
      </c>
      <c r="O291" s="18">
        <f t="shared" si="106"/>
        <v>63.440061445713283</v>
      </c>
      <c r="P291" s="18">
        <f t="shared" si="106"/>
        <v>62.580046084284959</v>
      </c>
      <c r="Q291" s="18">
        <f t="shared" si="106"/>
        <v>61.720030722856634</v>
      </c>
      <c r="R291" s="18">
        <f t="shared" si="106"/>
        <v>60.86001536142831</v>
      </c>
      <c r="S291" s="18">
        <f>Assumptions!P124</f>
        <v>60</v>
      </c>
    </row>
    <row r="292" spans="2:20" x14ac:dyDescent="0.3">
      <c r="B292" s="3"/>
      <c r="C292" s="3" t="s">
        <v>350</v>
      </c>
      <c r="D292" s="56" t="s">
        <v>571</v>
      </c>
      <c r="E292" s="3"/>
      <c r="I292" s="31">
        <f>I302/I286</f>
        <v>0.29754796823372559</v>
      </c>
      <c r="J292" s="31">
        <f t="shared" si="105"/>
        <v>0.28179317141035304</v>
      </c>
      <c r="K292" s="31">
        <f t="shared" ref="K292:R292" si="107">J292+($S292-$I292)/COUNT($J$278:$S$278)</f>
        <v>0.26603837458698049</v>
      </c>
      <c r="L292" s="31">
        <f t="shared" si="107"/>
        <v>0.25028357776360793</v>
      </c>
      <c r="M292" s="31">
        <f t="shared" si="107"/>
        <v>0.23452878094023538</v>
      </c>
      <c r="N292" s="31">
        <f t="shared" si="107"/>
        <v>0.21877398411686283</v>
      </c>
      <c r="O292" s="31">
        <f t="shared" si="107"/>
        <v>0.20301918729349028</v>
      </c>
      <c r="P292" s="31">
        <f t="shared" si="107"/>
        <v>0.18726439047011773</v>
      </c>
      <c r="Q292" s="31">
        <f t="shared" si="107"/>
        <v>0.17150959364674517</v>
      </c>
      <c r="R292" s="31">
        <f t="shared" si="107"/>
        <v>0.15575479682337262</v>
      </c>
      <c r="S292" s="31">
        <f>Assumptions!P125</f>
        <v>0.14000000000000001</v>
      </c>
    </row>
    <row r="293" spans="2:20" x14ac:dyDescent="0.3">
      <c r="B293" s="3"/>
      <c r="C293" s="102" t="s">
        <v>395</v>
      </c>
      <c r="D293" s="56" t="s">
        <v>571</v>
      </c>
      <c r="E293" s="3"/>
      <c r="I293" s="31">
        <f>I303/I286</f>
        <v>8.4980580835893577E-2</v>
      </c>
      <c r="J293" s="31">
        <f t="shared" si="105"/>
        <v>7.9982522752304219E-2</v>
      </c>
      <c r="K293" s="31">
        <f t="shared" ref="K293:R293" si="108">J293+($S293-$I293)/COUNT($J$278:$S$278)</f>
        <v>7.4984464668714862E-2</v>
      </c>
      <c r="L293" s="31">
        <f t="shared" si="108"/>
        <v>6.9986406585125505E-2</v>
      </c>
      <c r="M293" s="31">
        <f t="shared" si="108"/>
        <v>6.4988348501536147E-2</v>
      </c>
      <c r="N293" s="31">
        <f t="shared" si="108"/>
        <v>5.999029041794679E-2</v>
      </c>
      <c r="O293" s="31">
        <f t="shared" si="108"/>
        <v>5.4992232334357433E-2</v>
      </c>
      <c r="P293" s="31">
        <f t="shared" si="108"/>
        <v>4.9994174250768075E-2</v>
      </c>
      <c r="Q293" s="31">
        <f t="shared" si="108"/>
        <v>4.4996116167178718E-2</v>
      </c>
      <c r="R293" s="31">
        <f t="shared" si="108"/>
        <v>3.9998058083589361E-2</v>
      </c>
      <c r="S293" s="31">
        <f>Assumptions!P126</f>
        <v>3.5000000000000003E-2</v>
      </c>
    </row>
    <row r="294" spans="2:20" x14ac:dyDescent="0.3">
      <c r="B294" s="3"/>
      <c r="C294" s="3" t="s">
        <v>407</v>
      </c>
      <c r="D294" s="56" t="s">
        <v>485</v>
      </c>
      <c r="E294" s="3"/>
      <c r="I294" s="18">
        <f>I304/I288*I283</f>
        <v>52.363553425607712</v>
      </c>
      <c r="J294" s="18">
        <f t="shared" si="105"/>
        <v>53.327198083046937</v>
      </c>
      <c r="K294" s="18">
        <f t="shared" ref="K294:R294" si="109">J294+($S294-$I294)/COUNT($J$278:$S$278)</f>
        <v>54.29084274048617</v>
      </c>
      <c r="L294" s="18">
        <f t="shared" si="109"/>
        <v>55.254487397925402</v>
      </c>
      <c r="M294" s="18">
        <f t="shared" si="109"/>
        <v>56.218132055364634</v>
      </c>
      <c r="N294" s="18">
        <f t="shared" si="109"/>
        <v>57.181776712803867</v>
      </c>
      <c r="O294" s="18">
        <f t="shared" si="109"/>
        <v>58.145421370243099</v>
      </c>
      <c r="P294" s="18">
        <f t="shared" si="109"/>
        <v>59.109066027682331</v>
      </c>
      <c r="Q294" s="18">
        <f t="shared" si="109"/>
        <v>60.072710685121564</v>
      </c>
      <c r="R294" s="18">
        <f t="shared" si="109"/>
        <v>61.036355342560796</v>
      </c>
      <c r="S294" s="18">
        <f>Assumptions!P130</f>
        <v>62</v>
      </c>
    </row>
    <row r="295" spans="2:20" x14ac:dyDescent="0.3">
      <c r="B295" s="3"/>
      <c r="C295" s="3" t="s">
        <v>480</v>
      </c>
      <c r="D295" s="56" t="s">
        <v>571</v>
      </c>
      <c r="E295" s="3"/>
      <c r="I295" s="31">
        <f>I305/I286</f>
        <v>2.5462292041041099E-2</v>
      </c>
      <c r="J295" s="31">
        <f t="shared" si="105"/>
        <v>2.5916062836936989E-2</v>
      </c>
      <c r="K295" s="31">
        <f t="shared" ref="K295:R295" si="110">J295+($S295-$I295)/COUNT($J$278:$S$278)</f>
        <v>2.6369833632832879E-2</v>
      </c>
      <c r="L295" s="31">
        <f t="shared" si="110"/>
        <v>2.6823604428728769E-2</v>
      </c>
      <c r="M295" s="31">
        <f t="shared" si="110"/>
        <v>2.7277375224624659E-2</v>
      </c>
      <c r="N295" s="31">
        <f t="shared" si="110"/>
        <v>2.7731146020520549E-2</v>
      </c>
      <c r="O295" s="31">
        <f t="shared" si="110"/>
        <v>2.8184916816416439E-2</v>
      </c>
      <c r="P295" s="31">
        <f t="shared" si="110"/>
        <v>2.8638687612312329E-2</v>
      </c>
      <c r="Q295" s="31">
        <f t="shared" si="110"/>
        <v>2.9092458408208219E-2</v>
      </c>
      <c r="R295" s="31">
        <f t="shared" si="110"/>
        <v>2.9546229204104109E-2</v>
      </c>
      <c r="S295" s="31">
        <f>Assumptions!P131</f>
        <v>0.03</v>
      </c>
    </row>
    <row r="296" spans="2:20" x14ac:dyDescent="0.3">
      <c r="B296" s="3"/>
      <c r="C296" s="3" t="s">
        <v>455</v>
      </c>
      <c r="D296" s="56" t="s">
        <v>571</v>
      </c>
      <c r="E296" s="3"/>
      <c r="I296" s="31">
        <f>I306/'Raw Data'!G16</f>
        <v>9.4993844891259741E-2</v>
      </c>
      <c r="J296" s="31">
        <f t="shared" si="105"/>
        <v>9.4994460402133774E-2</v>
      </c>
      <c r="K296" s="31">
        <f t="shared" ref="K296:R296" si="111">J296+($S296-$I296)/COUNT($J$278:$S$278)</f>
        <v>9.4995075913007793E-2</v>
      </c>
      <c r="L296" s="31">
        <f t="shared" si="111"/>
        <v>9.4995691423881812E-2</v>
      </c>
      <c r="M296" s="31">
        <f t="shared" si="111"/>
        <v>9.4996306934755831E-2</v>
      </c>
      <c r="N296" s="31">
        <f t="shared" si="111"/>
        <v>9.499692244562985E-2</v>
      </c>
      <c r="O296" s="31">
        <f t="shared" si="111"/>
        <v>9.4997537956503869E-2</v>
      </c>
      <c r="P296" s="31">
        <f t="shared" si="111"/>
        <v>9.4998153467377888E-2</v>
      </c>
      <c r="Q296" s="31">
        <f t="shared" si="111"/>
        <v>9.4998768978251907E-2</v>
      </c>
      <c r="R296" s="31">
        <f t="shared" si="111"/>
        <v>9.4999384489125926E-2</v>
      </c>
      <c r="S296" s="31">
        <f>Assumptions!P132</f>
        <v>9.5000000000000001E-2</v>
      </c>
    </row>
    <row r="297" spans="2:20" x14ac:dyDescent="0.3">
      <c r="B297" s="3"/>
      <c r="C297" s="3" t="s">
        <v>471</v>
      </c>
      <c r="D297" s="56" t="s">
        <v>571</v>
      </c>
      <c r="E297" s="3"/>
      <c r="I297" s="31">
        <f>I307/(I287+I288)</f>
        <v>0.56908016034447895</v>
      </c>
      <c r="J297" s="31">
        <f t="shared" si="105"/>
        <v>0.57017214431003105</v>
      </c>
      <c r="K297" s="31">
        <f t="shared" ref="K297:R297" si="112">J297+($S297-$I297)/COUNT($J$278:$S$278)</f>
        <v>0.57126412827558315</v>
      </c>
      <c r="L297" s="31">
        <f t="shared" si="112"/>
        <v>0.57235611224113525</v>
      </c>
      <c r="M297" s="31">
        <f t="shared" si="112"/>
        <v>0.57344809620668735</v>
      </c>
      <c r="N297" s="31">
        <f t="shared" si="112"/>
        <v>0.57454008017223945</v>
      </c>
      <c r="O297" s="31">
        <f t="shared" si="112"/>
        <v>0.57563206413779155</v>
      </c>
      <c r="P297" s="31">
        <f t="shared" si="112"/>
        <v>0.57672404810334366</v>
      </c>
      <c r="Q297" s="31">
        <f t="shared" si="112"/>
        <v>0.57781603206889576</v>
      </c>
      <c r="R297" s="31">
        <f t="shared" si="112"/>
        <v>0.57890801603444786</v>
      </c>
      <c r="S297" s="31">
        <f>Assumptions!P133</f>
        <v>0.57999999999999996</v>
      </c>
    </row>
    <row r="298" spans="2:20" x14ac:dyDescent="0.3">
      <c r="B298" s="3"/>
      <c r="C298" s="3" t="s">
        <v>473</v>
      </c>
      <c r="D298" s="56" t="s">
        <v>571</v>
      </c>
      <c r="E298" s="3"/>
      <c r="I298" s="31">
        <f>I308/(I287+I288)</f>
        <v>2.5586125682475109E-2</v>
      </c>
      <c r="J298" s="31">
        <f t="shared" si="105"/>
        <v>2.5587513114227599E-2</v>
      </c>
      <c r="K298" s="31">
        <f t="shared" ref="K298:R298" si="113">J298+($S298-$I298)/COUNT($J$278:$S$278)</f>
        <v>2.5588900545980089E-2</v>
      </c>
      <c r="L298" s="31">
        <f t="shared" si="113"/>
        <v>2.5590287977732579E-2</v>
      </c>
      <c r="M298" s="31">
        <f t="shared" si="113"/>
        <v>2.5591675409485069E-2</v>
      </c>
      <c r="N298" s="31">
        <f t="shared" si="113"/>
        <v>2.5593062841237559E-2</v>
      </c>
      <c r="O298" s="31">
        <f t="shared" si="113"/>
        <v>2.5594450272990048E-2</v>
      </c>
      <c r="P298" s="31">
        <f t="shared" si="113"/>
        <v>2.5595837704742538E-2</v>
      </c>
      <c r="Q298" s="31">
        <f t="shared" si="113"/>
        <v>2.5597225136495028E-2</v>
      </c>
      <c r="R298" s="31">
        <f t="shared" si="113"/>
        <v>2.5598612568247518E-2</v>
      </c>
      <c r="S298" s="31">
        <f>Assumptions!P134</f>
        <v>2.5600000000000001E-2</v>
      </c>
    </row>
    <row r="299" spans="2:20" x14ac:dyDescent="0.3">
      <c r="B299" s="3"/>
      <c r="C299" s="3"/>
      <c r="D299" s="56"/>
      <c r="E299" s="3"/>
    </row>
    <row r="300" spans="2:20" x14ac:dyDescent="0.3">
      <c r="B300" s="70" t="s">
        <v>489</v>
      </c>
      <c r="C300" s="3"/>
      <c r="D300" s="56"/>
      <c r="E300" s="3"/>
    </row>
    <row r="301" spans="2:20" x14ac:dyDescent="0.3">
      <c r="B301" s="3"/>
      <c r="C301" s="3" t="s">
        <v>488</v>
      </c>
      <c r="D301" s="56"/>
      <c r="E301" s="3"/>
      <c r="I301" s="18">
        <f>'Financial Statements'!I56</f>
        <v>12969</v>
      </c>
      <c r="J301" s="18">
        <f t="shared" ref="J301:S301" si="114">J291/J283*J286</f>
        <v>15658.179354502379</v>
      </c>
      <c r="K301" s="18">
        <f t="shared" si="114"/>
        <v>19314.107580454132</v>
      </c>
      <c r="L301" s="18">
        <f t="shared" si="114"/>
        <v>23632.50275593048</v>
      </c>
      <c r="M301" s="18">
        <f t="shared" si="114"/>
        <v>28312.01328181279</v>
      </c>
      <c r="N301" s="18">
        <f t="shared" si="114"/>
        <v>33621.603408193201</v>
      </c>
      <c r="O301" s="18">
        <f t="shared" si="114"/>
        <v>38530.426024708482</v>
      </c>
      <c r="P301" s="18">
        <f t="shared" si="114"/>
        <v>45404.625366101143</v>
      </c>
      <c r="Q301" s="18">
        <f t="shared" si="114"/>
        <v>51465.362720594021</v>
      </c>
      <c r="R301" s="18">
        <f t="shared" si="114"/>
        <v>57208.857253712951</v>
      </c>
      <c r="S301" s="18">
        <f t="shared" si="114"/>
        <v>63342.10688179011</v>
      </c>
    </row>
    <row r="302" spans="2:20" x14ac:dyDescent="0.3">
      <c r="B302" s="3"/>
      <c r="C302" s="3" t="s">
        <v>350</v>
      </c>
      <c r="D302" s="56"/>
      <c r="E302" s="3"/>
      <c r="I302" s="18">
        <f>'Financial Statements'!I57</f>
        <v>20532</v>
      </c>
      <c r="J302" s="18">
        <f>J292*J286</f>
        <v>23774.889871891486</v>
      </c>
      <c r="K302" s="18">
        <f t="shared" ref="K302:S302" si="115">K292*K286</f>
        <v>28042.371205117568</v>
      </c>
      <c r="L302" s="18">
        <f t="shared" si="115"/>
        <v>32790.416251873838</v>
      </c>
      <c r="M302" s="18">
        <f t="shared" si="115"/>
        <v>37194.444253944603</v>
      </c>
      <c r="N302" s="18">
        <f t="shared" si="115"/>
        <v>41753.74837428741</v>
      </c>
      <c r="O302" s="18">
        <f t="shared" si="115"/>
        <v>45005.974044811461</v>
      </c>
      <c r="P302" s="18">
        <f t="shared" si="115"/>
        <v>49727.944119846696</v>
      </c>
      <c r="Q302" s="18">
        <f t="shared" si="115"/>
        <v>52199.961997025646</v>
      </c>
      <c r="R302" s="18">
        <f t="shared" si="115"/>
        <v>53439.884431072504</v>
      </c>
      <c r="S302" s="18">
        <f t="shared" si="115"/>
        <v>53946.36102765792</v>
      </c>
    </row>
    <row r="303" spans="2:20" x14ac:dyDescent="0.3">
      <c r="B303" s="3"/>
      <c r="C303" s="102" t="s">
        <v>395</v>
      </c>
      <c r="D303" s="56"/>
      <c r="E303" s="3"/>
      <c r="I303" s="18">
        <f>'Financial Statements'!I58</f>
        <v>5864</v>
      </c>
      <c r="J303" s="18">
        <f>J293*J286</f>
        <v>6748.1254446119074</v>
      </c>
      <c r="K303" s="18">
        <f t="shared" ref="K303:S303" si="116">K293*K286</f>
        <v>7903.9055779888613</v>
      </c>
      <c r="L303" s="18">
        <f t="shared" si="116"/>
        <v>9169.1329667129012</v>
      </c>
      <c r="M303" s="18">
        <f t="shared" si="116"/>
        <v>10306.6476353377</v>
      </c>
      <c r="N303" s="18">
        <f t="shared" si="116"/>
        <v>11449.348061757528</v>
      </c>
      <c r="O303" s="18">
        <f t="shared" si="116"/>
        <v>12190.862420941683</v>
      </c>
      <c r="P303" s="18">
        <f t="shared" si="116"/>
        <v>13275.922332157368</v>
      </c>
      <c r="Q303" s="18">
        <f t="shared" si="116"/>
        <v>13694.834813603762</v>
      </c>
      <c r="R303" s="18">
        <f t="shared" si="116"/>
        <v>13723.43995208235</v>
      </c>
      <c r="S303" s="18">
        <f t="shared" si="116"/>
        <v>13486.59025691448</v>
      </c>
    </row>
    <row r="304" spans="2:20" x14ac:dyDescent="0.3">
      <c r="B304" s="3"/>
      <c r="C304" s="3" t="s">
        <v>492</v>
      </c>
      <c r="D304" s="56"/>
      <c r="E304" s="3"/>
      <c r="I304" s="18">
        <f>'Financial Statements'!I77</f>
        <v>7409</v>
      </c>
      <c r="J304" s="18">
        <f>J294/J283*J288</f>
        <v>6367.1213492032484</v>
      </c>
      <c r="K304" s="18">
        <f t="shared" ref="K304:S304" si="117">K294/K283*K288</f>
        <v>7568.7898880595158</v>
      </c>
      <c r="L304" s="18">
        <f t="shared" si="117"/>
        <v>9023.0016387535161</v>
      </c>
      <c r="M304" s="18">
        <f t="shared" si="117"/>
        <v>10700.607558512267</v>
      </c>
      <c r="N304" s="18">
        <f t="shared" si="117"/>
        <v>12621.179185466683</v>
      </c>
      <c r="O304" s="18">
        <f t="shared" si="117"/>
        <v>14592.139423735993</v>
      </c>
      <c r="P304" s="18">
        <f t="shared" si="117"/>
        <v>17409.802029153245</v>
      </c>
      <c r="Q304" s="18">
        <f t="shared" si="117"/>
        <v>20327.618439089245</v>
      </c>
      <c r="R304" s="18">
        <f t="shared" si="117"/>
        <v>23274.746960099674</v>
      </c>
      <c r="S304" s="18">
        <f t="shared" si="117"/>
        <v>25199.601521138837</v>
      </c>
    </row>
    <row r="305" spans="2:20" x14ac:dyDescent="0.3">
      <c r="B305" s="3"/>
      <c r="C305" s="3" t="s">
        <v>480</v>
      </c>
      <c r="D305" s="56"/>
      <c r="E305" s="3"/>
      <c r="I305" s="18">
        <f>'Financial Statements'!I76</f>
        <v>1757</v>
      </c>
      <c r="J305" s="18">
        <f>J295*J286</f>
        <v>2186.5382215523737</v>
      </c>
      <c r="K305" s="18">
        <f t="shared" ref="K305:S305" si="118">K295*K286</f>
        <v>2779.5714227209169</v>
      </c>
      <c r="L305" s="18">
        <f t="shared" si="118"/>
        <v>3514.2423744012558</v>
      </c>
      <c r="M305" s="18">
        <f t="shared" si="118"/>
        <v>4325.9799847114373</v>
      </c>
      <c r="N305" s="18">
        <f t="shared" si="118"/>
        <v>5292.5821950242971</v>
      </c>
      <c r="O305" s="18">
        <f t="shared" si="118"/>
        <v>6248.1268475429551</v>
      </c>
      <c r="P305" s="18">
        <f t="shared" si="118"/>
        <v>7604.9859435399039</v>
      </c>
      <c r="Q305" s="18">
        <f t="shared" si="118"/>
        <v>8854.4622549593332</v>
      </c>
      <c r="R305" s="18">
        <f t="shared" si="118"/>
        <v>10137.389706410413</v>
      </c>
      <c r="S305" s="18">
        <f t="shared" si="118"/>
        <v>11559.934505926696</v>
      </c>
    </row>
    <row r="306" spans="2:20" x14ac:dyDescent="0.3">
      <c r="B306" s="3"/>
      <c r="C306" s="3" t="s">
        <v>455</v>
      </c>
      <c r="D306" s="56"/>
      <c r="E306" s="3"/>
      <c r="I306" s="18">
        <f>'Financial Statements'!I78</f>
        <v>2315</v>
      </c>
      <c r="J306" s="18">
        <f>J296*(Schedules!J93+Schedules!J95)*J99</f>
        <v>2298.702118930144</v>
      </c>
      <c r="K306" s="18">
        <f>K296*(Schedules!K93+Schedules!K95)*K99</f>
        <v>2643.1184314073944</v>
      </c>
      <c r="L306" s="18">
        <f>L296*(Schedules!L93+Schedules!L95)*L99</f>
        <v>2976.8231137014268</v>
      </c>
      <c r="M306" s="18">
        <f>M296*(Schedules!M93+Schedules!M95)*M99</f>
        <v>3331.6569486547132</v>
      </c>
      <c r="N306" s="18">
        <f>N296*(Schedules!N93+Schedules!N95)*N99</f>
        <v>3727.3472010564797</v>
      </c>
      <c r="O306" s="18">
        <f>O296*(Schedules!O93+Schedules!O95)*O99</f>
        <v>4175.4839807011876</v>
      </c>
      <c r="P306" s="18">
        <f>P296*(Schedules!P93+Schedules!P95)*P99</f>
        <v>4739.1900071406308</v>
      </c>
      <c r="Q306" s="18">
        <f>Q296*(Schedules!Q93+Schedules!Q95)*Q99</f>
        <v>5398.9262093394154</v>
      </c>
      <c r="R306" s="18">
        <f>R296*(Schedules!R93+Schedules!R95)*R99</f>
        <v>6063.050395309031</v>
      </c>
      <c r="S306" s="18">
        <f>S296*(Schedules!S93+Schedules!S95)*S99</f>
        <v>6129.8960463790318</v>
      </c>
    </row>
    <row r="307" spans="2:20" x14ac:dyDescent="0.3">
      <c r="B307" s="3"/>
      <c r="C307" s="3" t="s">
        <v>471</v>
      </c>
      <c r="D307" s="56"/>
      <c r="E307" s="3"/>
      <c r="I307" s="18">
        <f>'Financial Statements'!I79</f>
        <v>47842</v>
      </c>
      <c r="J307" s="18">
        <f>J297*(J287+J288)</f>
        <v>45243.159651000962</v>
      </c>
      <c r="K307" s="18">
        <f t="shared" ref="K307:S307" si="119">K297*(K287+K288)</f>
        <v>51531.825883637386</v>
      </c>
      <c r="L307" s="18">
        <f t="shared" si="119"/>
        <v>61563.778670469488</v>
      </c>
      <c r="M307" s="18">
        <f t="shared" si="119"/>
        <v>72056.065506408559</v>
      </c>
      <c r="N307" s="18">
        <f t="shared" si="119"/>
        <v>84004.016804805753</v>
      </c>
      <c r="O307" s="18">
        <f t="shared" si="119"/>
        <v>96031.513224507886</v>
      </c>
      <c r="P307" s="18">
        <f t="shared" si="119"/>
        <v>111266.8567260476</v>
      </c>
      <c r="Q307" s="18">
        <f t="shared" si="119"/>
        <v>127043.38498020051</v>
      </c>
      <c r="R307" s="18">
        <f t="shared" si="119"/>
        <v>142993.83727752676</v>
      </c>
      <c r="S307" s="18">
        <f t="shared" si="119"/>
        <v>155935.95205701044</v>
      </c>
    </row>
    <row r="308" spans="2:20" x14ac:dyDescent="0.3">
      <c r="B308" s="3"/>
      <c r="C308" s="3" t="s">
        <v>473</v>
      </c>
      <c r="D308" s="56"/>
      <c r="E308" s="3"/>
      <c r="I308" s="18">
        <f>'Financial Statements'!I81</f>
        <v>2151</v>
      </c>
      <c r="J308" s="18">
        <f>J298*(J287+J288)</f>
        <v>2030.3691656139599</v>
      </c>
      <c r="K308" s="18">
        <f t="shared" ref="K308:S308" si="120">K298*(K287+K288)</f>
        <v>2308.2891122003621</v>
      </c>
      <c r="L308" s="18">
        <f t="shared" si="120"/>
        <v>2752.5430260644612</v>
      </c>
      <c r="M308" s="18">
        <f t="shared" si="120"/>
        <v>3215.6972041981585</v>
      </c>
      <c r="N308" s="18">
        <f t="shared" si="120"/>
        <v>3741.9845110845044</v>
      </c>
      <c r="O308" s="18">
        <f t="shared" si="120"/>
        <v>4269.8694930175079</v>
      </c>
      <c r="P308" s="18">
        <f t="shared" si="120"/>
        <v>4938.1821618897102</v>
      </c>
      <c r="Q308" s="18">
        <f t="shared" si="120"/>
        <v>5628.0164394138119</v>
      </c>
      <c r="R308" s="18">
        <f t="shared" si="120"/>
        <v>6323.0146046148766</v>
      </c>
      <c r="S308" s="18">
        <f t="shared" si="120"/>
        <v>6882.6902976887377</v>
      </c>
    </row>
    <row r="309" spans="2:20" x14ac:dyDescent="0.3">
      <c r="B309" s="70"/>
      <c r="C309" s="70" t="s">
        <v>490</v>
      </c>
      <c r="D309" s="170"/>
      <c r="E309" s="70"/>
      <c r="F309" s="34"/>
      <c r="G309" s="34"/>
      <c r="H309" s="34"/>
      <c r="I309" s="65">
        <f>SUM(I301:I303)-SUM(I304:I308)</f>
        <v>-22109</v>
      </c>
      <c r="J309" s="65">
        <f>SUM(J301:J303)-SUM(J304:J308)</f>
        <v>-11944.695835294908</v>
      </c>
      <c r="K309" s="65">
        <f t="shared" ref="K309:S309" si="121">SUM(K301:K303)-SUM(K304:K308)</f>
        <v>-11571.210374465008</v>
      </c>
      <c r="L309" s="65">
        <f t="shared" si="121"/>
        <v>-14238.336848872932</v>
      </c>
      <c r="M309" s="65">
        <f t="shared" si="121"/>
        <v>-17816.902031390055</v>
      </c>
      <c r="N309" s="65">
        <f t="shared" si="121"/>
        <v>-22562.410053199579</v>
      </c>
      <c r="O309" s="65">
        <f t="shared" si="121"/>
        <v>-29589.870479043908</v>
      </c>
      <c r="P309" s="65">
        <f t="shared" si="121"/>
        <v>-37550.52504966587</v>
      </c>
      <c r="Q309" s="65">
        <f>SUM(Q301:Q303)-SUM(Q304:Q308)</f>
        <v>-49892.248791778911</v>
      </c>
      <c r="R309" s="65">
        <f t="shared" si="121"/>
        <v>-64419.857307092927</v>
      </c>
      <c r="S309" s="65">
        <f t="shared" si="121"/>
        <v>-74933.016261781231</v>
      </c>
      <c r="T309" s="34"/>
    </row>
    <row r="310" spans="2:20" x14ac:dyDescent="0.3">
      <c r="B310" s="3"/>
      <c r="C310" s="3"/>
      <c r="D310" s="56"/>
      <c r="E310" s="3"/>
    </row>
    <row r="311" spans="2:20" ht="14.5" thickBot="1" x14ac:dyDescent="0.35">
      <c r="B311" s="70" t="s">
        <v>491</v>
      </c>
      <c r="C311" s="70"/>
      <c r="D311" s="170"/>
      <c r="E311" s="70"/>
      <c r="F311" s="34"/>
      <c r="G311" s="34"/>
      <c r="H311" s="34"/>
      <c r="I311" s="72"/>
      <c r="J311" s="72">
        <f>J309-I309</f>
        <v>10164.304164705092</v>
      </c>
      <c r="K311" s="72">
        <f>K309-J309</f>
        <v>373.48546082989924</v>
      </c>
      <c r="L311" s="72">
        <f t="shared" ref="L311:S311" si="122">L309-K309</f>
        <v>-2667.1264744079235</v>
      </c>
      <c r="M311" s="72">
        <f t="shared" si="122"/>
        <v>-3578.5651825171226</v>
      </c>
      <c r="N311" s="72">
        <f t="shared" si="122"/>
        <v>-4745.5080218095245</v>
      </c>
      <c r="O311" s="72">
        <f t="shared" si="122"/>
        <v>-7027.4604258443287</v>
      </c>
      <c r="P311" s="72">
        <f t="shared" si="122"/>
        <v>-7960.6545706219622</v>
      </c>
      <c r="Q311" s="72">
        <f t="shared" si="122"/>
        <v>-12341.723742113041</v>
      </c>
      <c r="R311" s="72">
        <f t="shared" si="122"/>
        <v>-14527.608515314016</v>
      </c>
      <c r="S311" s="72">
        <f t="shared" si="122"/>
        <v>-10513.158954688304</v>
      </c>
      <c r="T311" s="34"/>
    </row>
    <row r="312" spans="2:20" ht="14.5" thickTop="1" x14ac:dyDescent="0.3">
      <c r="B312" s="3"/>
      <c r="C312" s="3"/>
      <c r="D312" s="56"/>
      <c r="E312" s="3"/>
    </row>
    <row r="313" spans="2:20" x14ac:dyDescent="0.3">
      <c r="B313" s="92"/>
      <c r="C313" s="92"/>
      <c r="D313" s="93"/>
      <c r="E313" s="93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  <c r="R313" s="92"/>
      <c r="S313" s="92"/>
    </row>
    <row r="316" spans="2:20" ht="30" x14ac:dyDescent="0.6">
      <c r="B316" s="21" t="str">
        <f>Cover!$B$8</f>
        <v>ONE 97 COMMUNICATIONS LIMITED</v>
      </c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</row>
    <row r="317" spans="2:20" ht="19" x14ac:dyDescent="0.4">
      <c r="B317" s="44" t="s">
        <v>709</v>
      </c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22"/>
      <c r="S317" s="22"/>
    </row>
    <row r="318" spans="2:20" x14ac:dyDescent="0.3">
      <c r="B318" s="70" t="str">
        <f>"Now running : "&amp;Assumptions!$H$8</f>
        <v>Now running : Base Case Scenario</v>
      </c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</row>
    <row r="319" spans="2:20" ht="15" thickBot="1" x14ac:dyDescent="0.4">
      <c r="B319" s="46" t="s">
        <v>129</v>
      </c>
      <c r="C319" s="47"/>
      <c r="D319" s="57"/>
      <c r="E319" s="5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3"/>
    </row>
    <row r="320" spans="2:20" x14ac:dyDescent="0.3">
      <c r="B320" s="3" t="s">
        <v>130</v>
      </c>
      <c r="C320" s="3"/>
      <c r="D320" s="56"/>
      <c r="E320" s="56"/>
      <c r="F320" s="3"/>
      <c r="G320" s="48">
        <v>1</v>
      </c>
      <c r="H320" s="48">
        <v>2</v>
      </c>
      <c r="I320" s="48">
        <v>3</v>
      </c>
      <c r="J320" s="48">
        <v>4</v>
      </c>
      <c r="K320" s="48">
        <v>5</v>
      </c>
      <c r="L320" s="48">
        <v>6</v>
      </c>
      <c r="M320" s="48">
        <v>7</v>
      </c>
      <c r="N320" s="48">
        <v>8</v>
      </c>
      <c r="O320" s="48">
        <v>9</v>
      </c>
      <c r="P320" s="48">
        <v>10</v>
      </c>
      <c r="Q320" s="48">
        <v>11</v>
      </c>
      <c r="R320" s="48">
        <v>12</v>
      </c>
      <c r="S320" s="48">
        <v>13</v>
      </c>
    </row>
    <row r="321" spans="2:19" x14ac:dyDescent="0.3">
      <c r="B321" s="3"/>
      <c r="C321" s="3"/>
      <c r="D321" s="56"/>
      <c r="E321" s="56"/>
      <c r="F321" s="3"/>
      <c r="G321" s="49">
        <v>45016</v>
      </c>
      <c r="H321" s="49">
        <f t="shared" ref="H321:S321" si="123">EOMONTH(G321,12)</f>
        <v>45382</v>
      </c>
      <c r="I321" s="49">
        <f t="shared" si="123"/>
        <v>45747</v>
      </c>
      <c r="J321" s="49">
        <f t="shared" si="123"/>
        <v>46112</v>
      </c>
      <c r="K321" s="49">
        <f t="shared" si="123"/>
        <v>46477</v>
      </c>
      <c r="L321" s="49">
        <f t="shared" si="123"/>
        <v>46843</v>
      </c>
      <c r="M321" s="49">
        <f t="shared" si="123"/>
        <v>47208</v>
      </c>
      <c r="N321" s="49">
        <f t="shared" si="123"/>
        <v>47573</v>
      </c>
      <c r="O321" s="49">
        <f t="shared" si="123"/>
        <v>47938</v>
      </c>
      <c r="P321" s="49">
        <f t="shared" si="123"/>
        <v>48304</v>
      </c>
      <c r="Q321" s="49">
        <f t="shared" si="123"/>
        <v>48669</v>
      </c>
      <c r="R321" s="49">
        <f t="shared" si="123"/>
        <v>49034</v>
      </c>
      <c r="S321" s="49">
        <f t="shared" si="123"/>
        <v>49399</v>
      </c>
    </row>
    <row r="322" spans="2:19" ht="14.5" x14ac:dyDescent="0.35">
      <c r="B322" s="3"/>
      <c r="C322" s="3"/>
      <c r="D322" s="56"/>
      <c r="E322" s="56"/>
      <c r="F322" s="3"/>
      <c r="G322" s="49"/>
      <c r="H322" s="49"/>
      <c r="I322" s="49"/>
      <c r="J322" s="193" t="s">
        <v>131</v>
      </c>
      <c r="K322" s="194"/>
      <c r="L322" s="194"/>
      <c r="M322" s="194"/>
      <c r="N322" s="194"/>
      <c r="O322" s="194"/>
      <c r="P322" s="194"/>
      <c r="Q322" s="194"/>
      <c r="R322" s="22"/>
      <c r="S322" s="22"/>
    </row>
    <row r="323" spans="2:19" ht="14.5" thickBot="1" x14ac:dyDescent="0.35">
      <c r="B323" s="47"/>
      <c r="C323" s="47"/>
      <c r="D323" s="57"/>
      <c r="E323" s="57"/>
      <c r="F323" s="47"/>
      <c r="G323" s="74">
        <f>YEAR(G321)</f>
        <v>2023</v>
      </c>
      <c r="H323" s="74">
        <f>YEAR(H321)</f>
        <v>2024</v>
      </c>
      <c r="I323" s="74">
        <f>YEAR(I321)</f>
        <v>2025</v>
      </c>
      <c r="J323" s="74">
        <f>YEAR(J321)</f>
        <v>2026</v>
      </c>
      <c r="K323" s="195">
        <f t="shared" ref="K323:S323" si="124">YEAR(K321)</f>
        <v>2027</v>
      </c>
      <c r="L323" s="195">
        <f t="shared" si="124"/>
        <v>2028</v>
      </c>
      <c r="M323" s="195">
        <f t="shared" si="124"/>
        <v>2029</v>
      </c>
      <c r="N323" s="195">
        <f t="shared" si="124"/>
        <v>2030</v>
      </c>
      <c r="O323" s="195">
        <f t="shared" si="124"/>
        <v>2031</v>
      </c>
      <c r="P323" s="195">
        <f t="shared" si="124"/>
        <v>2032</v>
      </c>
      <c r="Q323" s="195">
        <f t="shared" si="124"/>
        <v>2033</v>
      </c>
      <c r="R323" s="195">
        <f t="shared" si="124"/>
        <v>2034</v>
      </c>
      <c r="S323" s="195">
        <f t="shared" si="124"/>
        <v>2035</v>
      </c>
    </row>
    <row r="325" spans="2:19" x14ac:dyDescent="0.3">
      <c r="B325" s="70" t="s">
        <v>499</v>
      </c>
      <c r="C325" s="3"/>
      <c r="I325" s="34">
        <f>'Raw Data'!B251</f>
        <v>638</v>
      </c>
      <c r="J325" s="34">
        <f>$I$325</f>
        <v>638</v>
      </c>
      <c r="K325" s="34">
        <f t="shared" ref="K325:S325" si="125">$I$325</f>
        <v>638</v>
      </c>
      <c r="L325" s="34">
        <f t="shared" si="125"/>
        <v>638</v>
      </c>
      <c r="M325" s="34">
        <f t="shared" si="125"/>
        <v>638</v>
      </c>
      <c r="N325" s="34">
        <f t="shared" si="125"/>
        <v>638</v>
      </c>
      <c r="O325" s="34">
        <f t="shared" si="125"/>
        <v>638</v>
      </c>
      <c r="P325" s="34">
        <f t="shared" si="125"/>
        <v>638</v>
      </c>
      <c r="Q325" s="34">
        <f t="shared" si="125"/>
        <v>638</v>
      </c>
      <c r="R325" s="34">
        <f t="shared" si="125"/>
        <v>638</v>
      </c>
      <c r="S325" s="34">
        <f t="shared" si="125"/>
        <v>638</v>
      </c>
    </row>
    <row r="326" spans="2:19" x14ac:dyDescent="0.3">
      <c r="B326" s="70"/>
      <c r="C326" s="3"/>
    </row>
    <row r="327" spans="2:19" x14ac:dyDescent="0.3">
      <c r="B327" s="70" t="s">
        <v>511</v>
      </c>
      <c r="C327" s="3"/>
    </row>
    <row r="328" spans="2:19" x14ac:dyDescent="0.3">
      <c r="C328" s="3" t="s">
        <v>512</v>
      </c>
      <c r="I328" s="34">
        <f>'Raw Data'!B252</f>
        <v>267722</v>
      </c>
      <c r="J328" s="34">
        <f>$I$328</f>
        <v>267722</v>
      </c>
      <c r="K328" s="34">
        <f t="shared" ref="K328:S328" si="126">$I$328</f>
        <v>267722</v>
      </c>
      <c r="L328" s="34">
        <f t="shared" si="126"/>
        <v>267722</v>
      </c>
      <c r="M328" s="34">
        <f t="shared" si="126"/>
        <v>267722</v>
      </c>
      <c r="N328" s="34">
        <f t="shared" si="126"/>
        <v>267722</v>
      </c>
      <c r="O328" s="34">
        <f t="shared" si="126"/>
        <v>267722</v>
      </c>
      <c r="P328" s="34">
        <f t="shared" si="126"/>
        <v>267722</v>
      </c>
      <c r="Q328" s="34">
        <f t="shared" si="126"/>
        <v>267722</v>
      </c>
      <c r="R328" s="34">
        <f t="shared" si="126"/>
        <v>267722</v>
      </c>
      <c r="S328" s="34">
        <f t="shared" si="126"/>
        <v>267722</v>
      </c>
    </row>
    <row r="329" spans="2:19" x14ac:dyDescent="0.3">
      <c r="B329" s="3"/>
      <c r="C329" s="3" t="s">
        <v>513</v>
      </c>
      <c r="I329" s="34">
        <f>SUM('Raw Data'!B255:B256)</f>
        <v>1987</v>
      </c>
      <c r="J329" s="34">
        <f>$I$329</f>
        <v>1987</v>
      </c>
      <c r="K329" s="34">
        <f t="shared" ref="K329:S329" si="127">$I$329</f>
        <v>1987</v>
      </c>
      <c r="L329" s="34">
        <f t="shared" si="127"/>
        <v>1987</v>
      </c>
      <c r="M329" s="34">
        <f t="shared" si="127"/>
        <v>1987</v>
      </c>
      <c r="N329" s="34">
        <f t="shared" si="127"/>
        <v>1987</v>
      </c>
      <c r="O329" s="34">
        <f t="shared" si="127"/>
        <v>1987</v>
      </c>
      <c r="P329" s="34">
        <f t="shared" si="127"/>
        <v>1987</v>
      </c>
      <c r="Q329" s="34">
        <f t="shared" si="127"/>
        <v>1987</v>
      </c>
      <c r="R329" s="34">
        <f t="shared" si="127"/>
        <v>1987</v>
      </c>
      <c r="S329" s="34">
        <f t="shared" si="127"/>
        <v>1987</v>
      </c>
    </row>
    <row r="330" spans="2:19" x14ac:dyDescent="0.3">
      <c r="B330" s="3"/>
      <c r="C330" s="3"/>
    </row>
    <row r="331" spans="2:19" x14ac:dyDescent="0.3">
      <c r="B331" s="70"/>
      <c r="C331" s="70" t="s">
        <v>515</v>
      </c>
      <c r="J331" s="18">
        <f>I333</f>
        <v>6479</v>
      </c>
      <c r="K331" s="18">
        <f t="shared" ref="K331:Q331" si="128">J333</f>
        <v>19249.2</v>
      </c>
      <c r="L331" s="18">
        <f t="shared" si="128"/>
        <v>31711.600000000002</v>
      </c>
      <c r="M331" s="18">
        <f t="shared" si="128"/>
        <v>43866.200000000004</v>
      </c>
      <c r="N331" s="18">
        <f t="shared" si="128"/>
        <v>55713.000000000007</v>
      </c>
      <c r="O331" s="18">
        <f t="shared" si="128"/>
        <v>67252.000000000015</v>
      </c>
      <c r="P331" s="18">
        <f t="shared" si="128"/>
        <v>78483.200000000012</v>
      </c>
      <c r="Q331" s="18">
        <f t="shared" si="128"/>
        <v>89406.60000000002</v>
      </c>
      <c r="R331" s="18">
        <f>Q333</f>
        <v>100022.20000000003</v>
      </c>
      <c r="S331" s="18">
        <f>R333</f>
        <v>110330.00000000003</v>
      </c>
    </row>
    <row r="332" spans="2:19" x14ac:dyDescent="0.3">
      <c r="B332" s="3"/>
      <c r="C332" s="3" t="s">
        <v>183</v>
      </c>
      <c r="J332" s="18">
        <f>Assumptions!H139+(Assumptions!$H$140-Assumptions!$H$139)/COUNT(Schedules!$J$320:$S$320)</f>
        <v>12770.2</v>
      </c>
      <c r="K332" s="18">
        <f>J332+(Assumptions!$H$140-Assumptions!$H$139)/COUNT(Schedules!$J$320:$S$320)</f>
        <v>12462.400000000001</v>
      </c>
      <c r="L332" s="18">
        <f>K332+(Assumptions!$H$140-Assumptions!$H$139)/COUNT(Schedules!$J$320:$S$320)</f>
        <v>12154.600000000002</v>
      </c>
      <c r="M332" s="18">
        <f>L332+(Assumptions!$H$140-Assumptions!$H$139)/COUNT(Schedules!$J$320:$S$320)</f>
        <v>11846.800000000003</v>
      </c>
      <c r="N332" s="18">
        <f>M332+(Assumptions!$H$140-Assumptions!$H$139)/COUNT(Schedules!$J$320:$S$320)</f>
        <v>11539.000000000004</v>
      </c>
      <c r="O332" s="18">
        <f>N332+(Assumptions!$H$140-Assumptions!$H$139)/COUNT(Schedules!$J$320:$S$320)</f>
        <v>11231.200000000004</v>
      </c>
      <c r="P332" s="18">
        <f>O332+(Assumptions!$H$140-Assumptions!$H$139)/COUNT(Schedules!$J$320:$S$320)</f>
        <v>10923.400000000005</v>
      </c>
      <c r="Q332" s="18">
        <f>P332+(Assumptions!$H$140-Assumptions!$H$139)/COUNT(Schedules!$J$320:$S$320)</f>
        <v>10615.600000000006</v>
      </c>
      <c r="R332" s="18">
        <f>Q332+(Assumptions!$H$140-Assumptions!$H$139)/COUNT(Schedules!$J$320:$S$320)</f>
        <v>10307.800000000007</v>
      </c>
      <c r="S332" s="18">
        <f>Assumptions!H140</f>
        <v>10000</v>
      </c>
    </row>
    <row r="333" spans="2:19" s="34" customFormat="1" x14ac:dyDescent="0.3">
      <c r="B333" s="70"/>
      <c r="C333" s="70" t="s">
        <v>514</v>
      </c>
      <c r="D333" s="58"/>
      <c r="E333" s="58"/>
      <c r="I333" s="34">
        <f>'Raw Data'!B253</f>
        <v>6479</v>
      </c>
      <c r="J333" s="34">
        <f>J331+J332</f>
        <v>19249.2</v>
      </c>
      <c r="K333" s="34">
        <f t="shared" ref="K333:S333" si="129">K331+K332</f>
        <v>31711.600000000002</v>
      </c>
      <c r="L333" s="34">
        <f t="shared" si="129"/>
        <v>43866.200000000004</v>
      </c>
      <c r="M333" s="34">
        <f t="shared" si="129"/>
        <v>55713.000000000007</v>
      </c>
      <c r="N333" s="34">
        <f t="shared" si="129"/>
        <v>67252.000000000015</v>
      </c>
      <c r="O333" s="34">
        <f t="shared" si="129"/>
        <v>78483.200000000012</v>
      </c>
      <c r="P333" s="34">
        <f t="shared" si="129"/>
        <v>89406.60000000002</v>
      </c>
      <c r="Q333" s="34">
        <f t="shared" si="129"/>
        <v>100022.20000000003</v>
      </c>
      <c r="R333" s="34">
        <f t="shared" si="129"/>
        <v>110330.00000000003</v>
      </c>
      <c r="S333" s="34">
        <f t="shared" si="129"/>
        <v>120330.00000000003</v>
      </c>
    </row>
    <row r="334" spans="2:19" x14ac:dyDescent="0.3">
      <c r="B334" s="3"/>
      <c r="C334" s="3"/>
    </row>
    <row r="335" spans="2:19" x14ac:dyDescent="0.3">
      <c r="B335" s="70" t="s">
        <v>500</v>
      </c>
      <c r="C335" s="3"/>
    </row>
    <row r="336" spans="2:19" x14ac:dyDescent="0.3">
      <c r="B336" s="3"/>
      <c r="C336" s="3" t="s">
        <v>501</v>
      </c>
      <c r="J336" s="18">
        <f>I338</f>
        <v>-126621</v>
      </c>
      <c r="K336" s="18">
        <f t="shared" ref="K336:Q336" si="130">J338</f>
        <v>-119407</v>
      </c>
      <c r="L336" s="18">
        <f t="shared" si="130"/>
        <v>-103494.88028738419</v>
      </c>
      <c r="M336" s="18">
        <f t="shared" si="130"/>
        <v>-84616.349954885562</v>
      </c>
      <c r="N336" s="18">
        <f t="shared" si="130"/>
        <v>-58983.139717059814</v>
      </c>
      <c r="O336" s="18">
        <f t="shared" si="130"/>
        <v>-24931.380962249976</v>
      </c>
      <c r="P336" s="18">
        <f t="shared" si="130"/>
        <v>16708.651527143295</v>
      </c>
      <c r="Q336" s="18">
        <f t="shared" si="130"/>
        <v>72134.551220409587</v>
      </c>
      <c r="R336" s="18">
        <f>Q338</f>
        <v>143844.74052975635</v>
      </c>
      <c r="S336" s="18">
        <f>R338</f>
        <v>227044.27471847873</v>
      </c>
    </row>
    <row r="337" spans="2:19" x14ac:dyDescent="0.3">
      <c r="B337" s="3"/>
      <c r="C337" s="3" t="s">
        <v>502</v>
      </c>
      <c r="J337" s="18">
        <f>'Financial Statements'!J33</f>
        <v>7214</v>
      </c>
      <c r="K337" s="18">
        <f>'Financial Statements'!K33</f>
        <v>15912.119712615809</v>
      </c>
      <c r="L337" s="18">
        <f>'Financial Statements'!L33</f>
        <v>18878.530332498634</v>
      </c>
      <c r="M337" s="18">
        <f>'Financial Statements'!M33</f>
        <v>25633.210237825748</v>
      </c>
      <c r="N337" s="18">
        <f>'Financial Statements'!N33</f>
        <v>34051.758754809838</v>
      </c>
      <c r="O337" s="18">
        <f>'Financial Statements'!O33</f>
        <v>41640.03248939327</v>
      </c>
      <c r="P337" s="18">
        <f>'Financial Statements'!P33</f>
        <v>55425.899693266292</v>
      </c>
      <c r="Q337" s="18">
        <f>'Financial Statements'!Q33</f>
        <v>71710.189309346766</v>
      </c>
      <c r="R337" s="18">
        <f>'Financial Statements'!R33</f>
        <v>83199.534188722377</v>
      </c>
      <c r="S337" s="18">
        <f>'Financial Statements'!S33</f>
        <v>102169.03590925878</v>
      </c>
    </row>
    <row r="338" spans="2:19" s="34" customFormat="1" x14ac:dyDescent="0.3">
      <c r="B338" s="70"/>
      <c r="C338" s="70" t="s">
        <v>503</v>
      </c>
      <c r="D338" s="58"/>
      <c r="E338" s="58"/>
      <c r="I338" s="34">
        <f>'Raw Data'!B254</f>
        <v>-126621</v>
      </c>
      <c r="J338" s="34">
        <f>J336+J337</f>
        <v>-119407</v>
      </c>
      <c r="K338" s="34">
        <f t="shared" ref="K338:S338" si="131">K336+K337</f>
        <v>-103494.88028738419</v>
      </c>
      <c r="L338" s="34">
        <f t="shared" si="131"/>
        <v>-84616.349954885562</v>
      </c>
      <c r="M338" s="34">
        <f t="shared" si="131"/>
        <v>-58983.139717059814</v>
      </c>
      <c r="N338" s="34">
        <f t="shared" si="131"/>
        <v>-24931.380962249976</v>
      </c>
      <c r="O338" s="34">
        <f t="shared" si="131"/>
        <v>16708.651527143295</v>
      </c>
      <c r="P338" s="34">
        <f t="shared" si="131"/>
        <v>72134.551220409587</v>
      </c>
      <c r="Q338" s="34">
        <f t="shared" si="131"/>
        <v>143844.74052975635</v>
      </c>
      <c r="R338" s="34">
        <f t="shared" si="131"/>
        <v>227044.27471847873</v>
      </c>
      <c r="S338" s="34">
        <f t="shared" si="131"/>
        <v>329213.31062773749</v>
      </c>
    </row>
    <row r="339" spans="2:19" x14ac:dyDescent="0.3">
      <c r="B339" s="3"/>
      <c r="C339" s="3"/>
    </row>
    <row r="340" spans="2:19" s="34" customFormat="1" x14ac:dyDescent="0.3">
      <c r="B340" s="70" t="s">
        <v>504</v>
      </c>
      <c r="C340" s="70"/>
      <c r="D340" s="58"/>
      <c r="E340" s="58"/>
      <c r="I340" s="34">
        <f>'Raw Data'!B257</f>
        <v>62</v>
      </c>
      <c r="J340" s="34">
        <f>'Financial Statements'!J72-('Financial Statements'!J89+SUM(J325,J328:J329,J333,J338,J342))</f>
        <v>6857.0420833886019</v>
      </c>
      <c r="K340" s="34">
        <f>'Financial Statements'!K72-('Financial Statements'!K89+SUM(K325,K328:K329,K333,K338,K342))</f>
        <v>17090.180877600214</v>
      </c>
      <c r="L340" s="34">
        <f>'Financial Statements'!L72-('Financial Statements'!L89+SUM(L325,L328:L329,L333,L338,L342))</f>
        <v>19122.825897393515</v>
      </c>
      <c r="M340" s="34">
        <f>'Financial Statements'!M72-('Financial Statements'!M89+SUM(M325,M328:M329,M333,M338,M342))</f>
        <v>28890.590060827381</v>
      </c>
      <c r="N340" s="34">
        <f>'Financial Statements'!N72-('Financial Statements'!N89+SUM(N325,N328:N329,N333,N338,N342))</f>
        <v>48884.562484137947</v>
      </c>
      <c r="O340" s="34">
        <f>'Financial Statements'!O72-('Financial Statements'!O89+SUM(O325,O328:O329,O333,O338,O342))</f>
        <v>72107.49492461409</v>
      </c>
      <c r="P340" s="34">
        <f>'Financial Statements'!P72-('Financial Statements'!P89+SUM(P325,P328:P329,P333,P338,P342))</f>
        <v>101295.93683561147</v>
      </c>
      <c r="Q340" s="34">
        <f>'Financial Statements'!Q72-('Financial Statements'!Q89+SUM(Q325,Q328:Q329,Q333,Q338,Q342))</f>
        <v>136673.75709253026</v>
      </c>
      <c r="R340" s="34">
        <f>'Financial Statements'!R72-('Financial Statements'!R89+SUM(R325,R328:R329,R333,R338,R342))</f>
        <v>175221.19038277608</v>
      </c>
      <c r="S340" s="34">
        <f>'Financial Statements'!S72-('Financial Statements'!S89+SUM(S325,S328:S329,S333,S338,S342))</f>
        <v>220512.28156214138</v>
      </c>
    </row>
    <row r="341" spans="2:19" x14ac:dyDescent="0.3">
      <c r="B341" s="70"/>
      <c r="C341" s="70"/>
    </row>
    <row r="342" spans="2:19" s="34" customFormat="1" x14ac:dyDescent="0.3">
      <c r="B342" s="70" t="s">
        <v>374</v>
      </c>
      <c r="C342" s="70"/>
      <c r="D342" s="58"/>
      <c r="E342" s="58"/>
      <c r="I342" s="34">
        <f>'Raw Data'!B258</f>
        <v>-296</v>
      </c>
      <c r="J342" s="34">
        <f>$I$342</f>
        <v>-296</v>
      </c>
      <c r="K342" s="34">
        <f t="shared" ref="K342:S342" si="132">$I$342</f>
        <v>-296</v>
      </c>
      <c r="L342" s="34">
        <f t="shared" si="132"/>
        <v>-296</v>
      </c>
      <c r="M342" s="34">
        <f t="shared" si="132"/>
        <v>-296</v>
      </c>
      <c r="N342" s="34">
        <f t="shared" si="132"/>
        <v>-296</v>
      </c>
      <c r="O342" s="34">
        <f t="shared" si="132"/>
        <v>-296</v>
      </c>
      <c r="P342" s="34">
        <f t="shared" si="132"/>
        <v>-296</v>
      </c>
      <c r="Q342" s="34">
        <f t="shared" si="132"/>
        <v>-296</v>
      </c>
      <c r="R342" s="34">
        <f t="shared" si="132"/>
        <v>-296</v>
      </c>
      <c r="S342" s="34">
        <f t="shared" si="132"/>
        <v>-296</v>
      </c>
    </row>
    <row r="343" spans="2:19" x14ac:dyDescent="0.3">
      <c r="B343" s="70"/>
      <c r="C343" s="70"/>
    </row>
    <row r="344" spans="2:19" s="34" customFormat="1" ht="14.5" thickBot="1" x14ac:dyDescent="0.35">
      <c r="B344" s="70" t="s">
        <v>479</v>
      </c>
      <c r="C344" s="70"/>
      <c r="D344" s="58"/>
      <c r="E344" s="58"/>
      <c r="I344" s="72">
        <f>SUM(I342,I340,I338,I333,I325,I328:I329)</f>
        <v>149971</v>
      </c>
      <c r="J344" s="72">
        <f t="shared" ref="J344:S344" si="133">SUM(J342,J340,J338,J333,J325,J328:J329)</f>
        <v>176750.24208338861</v>
      </c>
      <c r="K344" s="72">
        <f t="shared" si="133"/>
        <v>215357.90059021604</v>
      </c>
      <c r="L344" s="72">
        <f t="shared" si="133"/>
        <v>248423.67594250795</v>
      </c>
      <c r="M344" s="72">
        <f t="shared" si="133"/>
        <v>295671.45034376759</v>
      </c>
      <c r="N344" s="72">
        <f t="shared" si="133"/>
        <v>361256.18152188801</v>
      </c>
      <c r="O344" s="72">
        <f t="shared" si="133"/>
        <v>437350.34645175736</v>
      </c>
      <c r="P344" s="72">
        <f t="shared" si="133"/>
        <v>532888.08805602114</v>
      </c>
      <c r="Q344" s="72">
        <f t="shared" si="133"/>
        <v>650591.69762228662</v>
      </c>
      <c r="R344" s="72">
        <f t="shared" si="133"/>
        <v>782646.46510125487</v>
      </c>
      <c r="S344" s="72">
        <f t="shared" si="133"/>
        <v>940106.59218987892</v>
      </c>
    </row>
    <row r="345" spans="2:19" ht="14.5" thickTop="1" x14ac:dyDescent="0.3"/>
  </sheetData>
  <pageMargins left="0.7" right="0.7" top="0.75" bottom="0.75" header="0.3" footer="0.3"/>
  <ignoredErrors>
    <ignoredError sqref="J74 J144 I329 J36" formulaRange="1"/>
    <ignoredError sqref="K54:N54 R41 O54:R54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CD4761-2717-4126-9446-8AA5A350F45B}">
  <sheetPr codeName="Sheet7"/>
  <dimension ref="B1:AF144"/>
  <sheetViews>
    <sheetView showGridLines="0" topLeftCell="A104" zoomScaleNormal="100" workbookViewId="0">
      <selection activeCell="D2" sqref="D2"/>
    </sheetView>
  </sheetViews>
  <sheetFormatPr defaultColWidth="8.90625" defaultRowHeight="14" x14ac:dyDescent="0.3"/>
  <cols>
    <col min="1" max="1" width="2.36328125" style="18" customWidth="1"/>
    <col min="2" max="2" width="1.453125" style="18" customWidth="1"/>
    <col min="3" max="3" width="25.08984375" style="102" customWidth="1"/>
    <col min="4" max="6" width="8.90625" style="18"/>
    <col min="7" max="16" width="10.54296875" style="18" bestFit="1" customWidth="1"/>
    <col min="17" max="18" width="11" style="18" bestFit="1" customWidth="1"/>
    <col min="19" max="19" width="12.08984375" style="18" bestFit="1" customWidth="1"/>
    <col min="20" max="20" width="10.08984375" style="18" bestFit="1" customWidth="1"/>
    <col min="21" max="21" width="8.90625" style="18"/>
    <col min="22" max="22" width="15" style="18" bestFit="1" customWidth="1"/>
    <col min="23" max="24" width="11" style="18" bestFit="1" customWidth="1"/>
    <col min="25" max="27" width="12.6328125" style="18" bestFit="1" customWidth="1"/>
    <col min="28" max="30" width="9.90625" style="18" bestFit="1" customWidth="1"/>
    <col min="31" max="16384" width="8.90625" style="18"/>
  </cols>
  <sheetData>
    <row r="1" spans="2:27" ht="7.25" customHeight="1" x14ac:dyDescent="0.3"/>
    <row r="2" spans="2:27" ht="30" x14ac:dyDescent="0.6">
      <c r="B2" s="21" t="str">
        <f>Cover!$B$8</f>
        <v>ONE 97 COMMUNICATIONS LIMITED</v>
      </c>
      <c r="C2" s="45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2:27" ht="19" x14ac:dyDescent="0.4">
      <c r="B3" s="44" t="s">
        <v>364</v>
      </c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22"/>
      <c r="S3" s="22"/>
    </row>
    <row r="4" spans="2:27" x14ac:dyDescent="0.3">
      <c r="B4" s="70" t="str">
        <f>"Now running : "&amp;Assumptions!$H$8</f>
        <v>Now running : Base Case Scenario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</row>
    <row r="5" spans="2:27" ht="15" thickBot="1" x14ac:dyDescent="0.4">
      <c r="B5" s="109" t="s">
        <v>129</v>
      </c>
      <c r="D5" s="3"/>
      <c r="E5" s="5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3"/>
    </row>
    <row r="6" spans="2:27" x14ac:dyDescent="0.3">
      <c r="B6" s="48" t="s">
        <v>130</v>
      </c>
      <c r="C6" s="110"/>
      <c r="D6" s="48"/>
      <c r="E6" s="56"/>
      <c r="F6" s="3"/>
      <c r="G6" s="48">
        <v>1</v>
      </c>
      <c r="H6" s="48">
        <v>2</v>
      </c>
      <c r="I6" s="48">
        <v>3</v>
      </c>
      <c r="J6" s="48">
        <v>4</v>
      </c>
      <c r="K6" s="48">
        <v>5</v>
      </c>
      <c r="L6" s="48">
        <v>6</v>
      </c>
      <c r="M6" s="48">
        <v>7</v>
      </c>
      <c r="N6" s="48">
        <v>8</v>
      </c>
      <c r="O6" s="48">
        <v>9</v>
      </c>
      <c r="P6" s="48">
        <v>10</v>
      </c>
      <c r="Q6" s="48">
        <v>11</v>
      </c>
      <c r="R6" s="48">
        <v>12</v>
      </c>
      <c r="S6" s="48">
        <v>13</v>
      </c>
    </row>
    <row r="7" spans="2:27" x14ac:dyDescent="0.3">
      <c r="B7" s="3"/>
      <c r="D7" s="3"/>
      <c r="E7" s="56"/>
      <c r="F7" s="3"/>
      <c r="G7" s="49">
        <v>45016</v>
      </c>
      <c r="H7" s="49">
        <f t="shared" ref="H7:Q7" si="0">EOMONTH(G7,12)</f>
        <v>45382</v>
      </c>
      <c r="I7" s="49">
        <f t="shared" si="0"/>
        <v>45747</v>
      </c>
      <c r="J7" s="49">
        <f t="shared" si="0"/>
        <v>46112</v>
      </c>
      <c r="K7" s="49">
        <f t="shared" si="0"/>
        <v>46477</v>
      </c>
      <c r="L7" s="49">
        <f t="shared" si="0"/>
        <v>46843</v>
      </c>
      <c r="M7" s="49">
        <f t="shared" si="0"/>
        <v>47208</v>
      </c>
      <c r="N7" s="49">
        <f t="shared" si="0"/>
        <v>47573</v>
      </c>
      <c r="O7" s="49">
        <f t="shared" si="0"/>
        <v>47938</v>
      </c>
      <c r="P7" s="49">
        <f t="shared" si="0"/>
        <v>48304</v>
      </c>
      <c r="Q7" s="49">
        <f t="shared" si="0"/>
        <v>48669</v>
      </c>
      <c r="R7" s="49">
        <f>EOMONTH(Q7,12)</f>
        <v>49034</v>
      </c>
      <c r="S7" s="49">
        <f>EOMONTH(R7,12)</f>
        <v>49399</v>
      </c>
    </row>
    <row r="8" spans="2:27" ht="14.5" x14ac:dyDescent="0.35">
      <c r="B8" s="3"/>
      <c r="D8" s="3"/>
      <c r="E8" s="56"/>
      <c r="F8" s="3"/>
      <c r="G8" s="49"/>
      <c r="H8" s="49"/>
      <c r="I8" s="49"/>
      <c r="J8" s="193" t="s">
        <v>131</v>
      </c>
      <c r="K8" s="52"/>
      <c r="L8" s="52"/>
      <c r="M8" s="52"/>
      <c r="N8" s="52"/>
      <c r="O8" s="52"/>
      <c r="P8" s="52"/>
      <c r="Q8" s="52"/>
      <c r="R8" s="22"/>
      <c r="S8" s="22"/>
    </row>
    <row r="9" spans="2:27" ht="14.5" thickBot="1" x14ac:dyDescent="0.35">
      <c r="B9" s="3"/>
      <c r="D9" s="3"/>
      <c r="E9" s="57"/>
      <c r="F9" s="47"/>
      <c r="G9" s="74">
        <f t="shared" ref="G9:S9" si="1">YEAR(G7)</f>
        <v>2023</v>
      </c>
      <c r="H9" s="74">
        <f t="shared" si="1"/>
        <v>2024</v>
      </c>
      <c r="I9" s="74">
        <f t="shared" si="1"/>
        <v>2025</v>
      </c>
      <c r="J9" s="74">
        <f t="shared" si="1"/>
        <v>2026</v>
      </c>
      <c r="K9" s="74">
        <f t="shared" si="1"/>
        <v>2027</v>
      </c>
      <c r="L9" s="74">
        <f t="shared" si="1"/>
        <v>2028</v>
      </c>
      <c r="M9" s="74">
        <f t="shared" si="1"/>
        <v>2029</v>
      </c>
      <c r="N9" s="74">
        <f t="shared" si="1"/>
        <v>2030</v>
      </c>
      <c r="O9" s="74">
        <f t="shared" si="1"/>
        <v>2031</v>
      </c>
      <c r="P9" s="74">
        <f t="shared" si="1"/>
        <v>2032</v>
      </c>
      <c r="Q9" s="74">
        <f t="shared" si="1"/>
        <v>2033</v>
      </c>
      <c r="R9" s="195">
        <f t="shared" si="1"/>
        <v>2034</v>
      </c>
      <c r="S9" s="195">
        <f t="shared" si="1"/>
        <v>2035</v>
      </c>
    </row>
    <row r="10" spans="2:27" x14ac:dyDescent="0.3">
      <c r="B10" s="111"/>
      <c r="C10" s="110"/>
      <c r="D10" s="111"/>
      <c r="H10" s="35"/>
      <c r="J10" s="27"/>
      <c r="K10" s="27"/>
      <c r="L10" s="27"/>
      <c r="M10" s="27"/>
      <c r="N10" s="27"/>
      <c r="O10" s="27"/>
      <c r="P10" s="27"/>
      <c r="Q10" s="27"/>
      <c r="R10" s="27"/>
      <c r="S10" s="27"/>
    </row>
    <row r="11" spans="2:27" s="34" customFormat="1" x14ac:dyDescent="0.3">
      <c r="B11" s="34" t="s">
        <v>79</v>
      </c>
      <c r="C11" s="102"/>
      <c r="G11" s="100">
        <f>'Raw Data'!B147</f>
        <v>79903</v>
      </c>
      <c r="H11" s="100">
        <f>'Raw Data'!C147</f>
        <v>99778</v>
      </c>
      <c r="I11" s="100">
        <f>'Raw Data'!D147</f>
        <v>69004</v>
      </c>
      <c r="J11" s="100">
        <f>SUM('Raw Data'!V2:V5)*10</f>
        <v>84370</v>
      </c>
      <c r="K11" s="34">
        <f>SUM(Schedules!K47,Schedules!K65,Schedules!K74)</f>
        <v>105407.24152541082</v>
      </c>
      <c r="L11" s="34">
        <f>SUM(Schedules!L47,Schedules!L65,Schedules!L74)</f>
        <v>131013.05545042307</v>
      </c>
      <c r="M11" s="34">
        <f>SUM(Schedules!M47,Schedules!M65,Schedules!M74)</f>
        <v>158592.23803931684</v>
      </c>
      <c r="N11" s="34">
        <f>SUM(Schedules!N47,Schedules!N65,Schedules!N74)</f>
        <v>190853.35280077794</v>
      </c>
      <c r="O11" s="34">
        <f>SUM(Schedules!O47,Schedules!O65,Schedules!O74)</f>
        <v>221683.35242003284</v>
      </c>
      <c r="P11" s="34">
        <f>SUM(Schedules!P47,Schedules!P65,Schedules!P74)</f>
        <v>265549.3871259091</v>
      </c>
      <c r="Q11" s="34">
        <f>SUM(Schedules!Q47,Schedules!Q65,Schedules!Q74)</f>
        <v>304355.93069237191</v>
      </c>
      <c r="R11" s="34">
        <f>SUM(Schedules!R47,Schedules!R65,Schedules!R74)</f>
        <v>343102.65571900061</v>
      </c>
      <c r="S11" s="34">
        <f>SUM(Schedules!S47,Schedules!S65,Schedules!S74)</f>
        <v>385331.15019755653</v>
      </c>
      <c r="U11" s="186"/>
      <c r="V11" s="64"/>
    </row>
    <row r="12" spans="2:27" s="34" customFormat="1" x14ac:dyDescent="0.3">
      <c r="C12" s="102"/>
      <c r="U12" s="186"/>
      <c r="V12" s="186"/>
      <c r="W12" s="64"/>
    </row>
    <row r="13" spans="2:27" x14ac:dyDescent="0.3">
      <c r="C13" s="102" t="s">
        <v>365</v>
      </c>
      <c r="G13" s="101">
        <f>'Raw Data'!B148</f>
        <v>39662.161862341374</v>
      </c>
      <c r="H13" s="101">
        <f>'Raw Data'!C148</f>
        <v>43323.587360282378</v>
      </c>
      <c r="I13" s="101">
        <f>'Raw Data'!D148</f>
        <v>32424.586603916294</v>
      </c>
      <c r="J13" s="101">
        <f>SUM('Raw Data'!V7:V9)*10</f>
        <v>35770</v>
      </c>
      <c r="K13" s="18">
        <f>Schedules!K93</f>
        <v>39321.308716692882</v>
      </c>
      <c r="L13" s="18">
        <f>Schedules!L93</f>
        <v>47794.590343754462</v>
      </c>
      <c r="M13" s="18">
        <f>Schedules!M93</f>
        <v>56179.618520251388</v>
      </c>
      <c r="N13" s="18">
        <f>Schedules!N93</f>
        <v>65647.979340898062</v>
      </c>
      <c r="O13" s="18">
        <f>Schedules!O93</f>
        <v>75227.766061670001</v>
      </c>
      <c r="P13" s="18">
        <f>Schedules!P93</f>
        <v>85128.59763580974</v>
      </c>
      <c r="Q13" s="18">
        <f>Schedules!Q93</f>
        <v>96358.220476518676</v>
      </c>
      <c r="R13" s="18">
        <f>Schedules!R93</f>
        <v>107822.16849244658</v>
      </c>
      <c r="S13" s="18">
        <f>Schedules!S93</f>
        <v>120502.59692740705</v>
      </c>
      <c r="U13" s="186"/>
    </row>
    <row r="14" spans="2:27" s="34" customFormat="1" x14ac:dyDescent="0.3">
      <c r="B14" s="34" t="s">
        <v>366</v>
      </c>
      <c r="C14" s="102"/>
      <c r="G14" s="65">
        <f>G11-G13</f>
        <v>40240.838137658626</v>
      </c>
      <c r="H14" s="65">
        <f>H11-H13</f>
        <v>56454.412639717622</v>
      </c>
      <c r="I14" s="65">
        <f>I11-I13</f>
        <v>36579.413396083706</v>
      </c>
      <c r="J14" s="65">
        <f>J11-J13</f>
        <v>48600</v>
      </c>
      <c r="K14" s="65">
        <f t="shared" ref="K14:S14" si="2">K11-K13</f>
        <v>66085.932808717946</v>
      </c>
      <c r="L14" s="65">
        <f t="shared" si="2"/>
        <v>83218.465106668606</v>
      </c>
      <c r="M14" s="65">
        <f t="shared" si="2"/>
        <v>102412.61951906545</v>
      </c>
      <c r="N14" s="65">
        <f t="shared" si="2"/>
        <v>125205.37345987988</v>
      </c>
      <c r="O14" s="65">
        <f t="shared" si="2"/>
        <v>146455.58635836284</v>
      </c>
      <c r="P14" s="65">
        <f t="shared" si="2"/>
        <v>180420.78949009936</v>
      </c>
      <c r="Q14" s="65">
        <f t="shared" si="2"/>
        <v>207997.71021585324</v>
      </c>
      <c r="R14" s="65">
        <f t="shared" si="2"/>
        <v>235280.48722655402</v>
      </c>
      <c r="S14" s="65">
        <f t="shared" si="2"/>
        <v>264828.55327014951</v>
      </c>
      <c r="U14" s="54"/>
      <c r="V14" s="54"/>
      <c r="W14" s="54"/>
      <c r="X14" s="54"/>
      <c r="Y14" s="54"/>
      <c r="Z14" s="54"/>
      <c r="AA14" s="54"/>
    </row>
    <row r="15" spans="2:27" x14ac:dyDescent="0.3">
      <c r="R15" s="27"/>
      <c r="S15" s="27"/>
      <c r="T15" s="27"/>
      <c r="U15" s="27"/>
      <c r="V15" s="27"/>
      <c r="W15" s="27"/>
      <c r="X15" s="27"/>
      <c r="Y15" s="27"/>
      <c r="Z15" s="27"/>
      <c r="AA15" s="27"/>
    </row>
    <row r="16" spans="2:27" x14ac:dyDescent="0.3">
      <c r="C16" s="102" t="s">
        <v>304</v>
      </c>
      <c r="G16" s="101">
        <f>'Raw Data'!B149</f>
        <v>56555.838137658626</v>
      </c>
      <c r="H16" s="101">
        <f>'Raw Data'!C149</f>
        <v>65522.412639717622</v>
      </c>
      <c r="I16" s="101">
        <f>'Raw Data'!D149</f>
        <v>51644.413396083706</v>
      </c>
      <c r="J16" s="101">
        <f>SUM('Raw Data'!V12:V15)*10</f>
        <v>43580</v>
      </c>
      <c r="K16" s="18">
        <f>Schedules!K95</f>
        <v>50885.345846392076</v>
      </c>
      <c r="L16" s="18">
        <f>Schedules!L95</f>
        <v>59767.428046174944</v>
      </c>
      <c r="M16" s="18">
        <f>Schedules!M95</f>
        <v>69474.413611084616</v>
      </c>
      <c r="N16" s="18">
        <f>Schedules!N95</f>
        <v>80562.911254623934</v>
      </c>
      <c r="O16" s="18">
        <f>Schedules!O95</f>
        <v>91600.17700704762</v>
      </c>
      <c r="P16" s="18">
        <f>Schedules!P95</f>
        <v>107800.51134094926</v>
      </c>
      <c r="Q16" s="18">
        <f>Schedules!Q95</f>
        <v>123510.00388775879</v>
      </c>
      <c r="R16" s="18">
        <f>Schedules!R95</f>
        <v>139183.97638190235</v>
      </c>
      <c r="S16" s="18">
        <f>Schedules!S95</f>
        <v>148352.49282605929</v>
      </c>
      <c r="U16" s="186"/>
    </row>
    <row r="17" spans="2:21" x14ac:dyDescent="0.3">
      <c r="B17" s="34" t="s">
        <v>367</v>
      </c>
      <c r="G17" s="65">
        <f>G14-G16</f>
        <v>-16315</v>
      </c>
      <c r="H17" s="65">
        <f>H14-H16</f>
        <v>-9068</v>
      </c>
      <c r="I17" s="65">
        <f>I14-I16</f>
        <v>-15065</v>
      </c>
      <c r="J17" s="65">
        <f>J14-J16</f>
        <v>5020</v>
      </c>
      <c r="K17" s="65">
        <f t="shared" ref="K17:S17" si="3">K14-K16</f>
        <v>15200.58696232587</v>
      </c>
      <c r="L17" s="65">
        <f t="shared" si="3"/>
        <v>23451.037060493662</v>
      </c>
      <c r="M17" s="65">
        <f t="shared" si="3"/>
        <v>32938.205907980839</v>
      </c>
      <c r="N17" s="65">
        <f t="shared" si="3"/>
        <v>44642.462205255943</v>
      </c>
      <c r="O17" s="65">
        <f t="shared" si="3"/>
        <v>54855.409351315218</v>
      </c>
      <c r="P17" s="65">
        <f t="shared" si="3"/>
        <v>72620.278149150094</v>
      </c>
      <c r="Q17" s="65">
        <f t="shared" si="3"/>
        <v>84487.706328094442</v>
      </c>
      <c r="R17" s="65">
        <f t="shared" si="3"/>
        <v>96096.510844651668</v>
      </c>
      <c r="S17" s="65">
        <f t="shared" si="3"/>
        <v>116476.06044409022</v>
      </c>
      <c r="T17" s="34"/>
    </row>
    <row r="19" spans="2:21" x14ac:dyDescent="0.3">
      <c r="C19" s="102" t="s">
        <v>368</v>
      </c>
      <c r="G19" s="101">
        <f>'Raw Data'!B153</f>
        <v>4853</v>
      </c>
      <c r="H19" s="101">
        <f>'Raw Data'!C153</f>
        <v>7357</v>
      </c>
      <c r="I19" s="101">
        <f>'Raw Data'!D153</f>
        <v>6726</v>
      </c>
      <c r="J19" s="101">
        <f>'Raw Data'!V19*10</f>
        <v>5680</v>
      </c>
      <c r="K19" s="18">
        <f>Schedules!K178</f>
        <v>7216.5122365999241</v>
      </c>
      <c r="L19" s="18">
        <f>Schedules!L178</f>
        <v>8631.810735216035</v>
      </c>
      <c r="M19" s="18">
        <f>Schedules!M178</f>
        <v>11060.555710656177</v>
      </c>
      <c r="N19" s="18">
        <f>Schedules!N178</f>
        <v>13790.473058862592</v>
      </c>
      <c r="O19" s="18">
        <f>Schedules!O178</f>
        <v>16696.234241787981</v>
      </c>
      <c r="P19" s="18">
        <f>Schedules!P178</f>
        <v>19551.883972871292</v>
      </c>
      <c r="Q19" s="18">
        <f>Schedules!Q178</f>
        <v>22579.770609551375</v>
      </c>
      <c r="R19" s="18">
        <f>Schedules!R178</f>
        <v>25761.068945065919</v>
      </c>
      <c r="S19" s="18">
        <f>Schedules!S178</f>
        <v>29091.647924635156</v>
      </c>
      <c r="U19" s="186"/>
    </row>
    <row r="20" spans="2:21" s="34" customFormat="1" x14ac:dyDescent="0.3">
      <c r="B20" s="34" t="s">
        <v>369</v>
      </c>
      <c r="C20" s="102"/>
      <c r="G20" s="65">
        <f>G17-G19</f>
        <v>-21168</v>
      </c>
      <c r="H20" s="65">
        <f>H17-H19</f>
        <v>-16425</v>
      </c>
      <c r="I20" s="65">
        <f>I17-I19</f>
        <v>-21791</v>
      </c>
      <c r="J20" s="65">
        <f>J17-J19</f>
        <v>-660</v>
      </c>
      <c r="K20" s="65">
        <f t="shared" ref="K20:S20" si="4">K17-K19</f>
        <v>7984.0747257259454</v>
      </c>
      <c r="L20" s="65">
        <f t="shared" si="4"/>
        <v>14819.226325277627</v>
      </c>
      <c r="M20" s="65">
        <f t="shared" si="4"/>
        <v>21877.650197324663</v>
      </c>
      <c r="N20" s="65">
        <f t="shared" si="4"/>
        <v>30851.989146393353</v>
      </c>
      <c r="O20" s="65">
        <f t="shared" si="4"/>
        <v>38159.175109527234</v>
      </c>
      <c r="P20" s="65">
        <f t="shared" si="4"/>
        <v>53068.394176278802</v>
      </c>
      <c r="Q20" s="65">
        <f t="shared" si="4"/>
        <v>61907.935718543071</v>
      </c>
      <c r="R20" s="65">
        <f t="shared" si="4"/>
        <v>70335.441899585741</v>
      </c>
      <c r="S20" s="65">
        <f t="shared" si="4"/>
        <v>87384.412519455072</v>
      </c>
      <c r="U20" s="186"/>
    </row>
    <row r="22" spans="2:21" x14ac:dyDescent="0.3">
      <c r="C22" s="102" t="s">
        <v>370</v>
      </c>
      <c r="G22" s="101">
        <f>'Raw Data'!B154</f>
        <v>233</v>
      </c>
      <c r="H22" s="101">
        <f>'Raw Data'!C154</f>
        <v>243</v>
      </c>
      <c r="I22" s="101">
        <f>'Raw Data'!D154</f>
        <v>164</v>
      </c>
      <c r="J22" s="101">
        <f>'Raw Data'!V18*10</f>
        <v>180</v>
      </c>
      <c r="K22" s="18">
        <f>Schedules!K211</f>
        <v>192.64099579799631</v>
      </c>
      <c r="L22" s="18">
        <f>Schedules!L211</f>
        <v>221.72931536490518</v>
      </c>
      <c r="M22" s="18">
        <f>Schedules!M211</f>
        <v>244.60312496150786</v>
      </c>
      <c r="N22" s="18">
        <f>Schedules!N211</f>
        <v>262.36499092389931</v>
      </c>
      <c r="O22" s="18">
        <f>Schedules!O211</f>
        <v>270.72306886221935</v>
      </c>
      <c r="P22" s="18">
        <f>Schedules!P211</f>
        <v>279.11056644447183</v>
      </c>
      <c r="Q22" s="18">
        <f>Schedules!Q211</f>
        <v>295.49213003801566</v>
      </c>
      <c r="R22" s="18">
        <f>Schedules!R211</f>
        <v>317.8223823811544</v>
      </c>
      <c r="S22" s="18">
        <f>Schedules!S211</f>
        <v>353.61514609346978</v>
      </c>
    </row>
    <row r="23" spans="2:21" s="34" customFormat="1" x14ac:dyDescent="0.3">
      <c r="B23" s="70" t="s">
        <v>371</v>
      </c>
      <c r="C23" s="102"/>
      <c r="G23" s="65">
        <f>G20-G22</f>
        <v>-21401</v>
      </c>
      <c r="H23" s="65">
        <f>H20-H22</f>
        <v>-16668</v>
      </c>
      <c r="I23" s="65">
        <f>I20-I22</f>
        <v>-21955</v>
      </c>
      <c r="J23" s="65">
        <f>J20-J22</f>
        <v>-840</v>
      </c>
      <c r="K23" s="65">
        <f t="shared" ref="K23:S23" si="5">K20-K22</f>
        <v>7791.4337299279487</v>
      </c>
      <c r="L23" s="65">
        <f t="shared" si="5"/>
        <v>14597.497009912722</v>
      </c>
      <c r="M23" s="65">
        <f t="shared" si="5"/>
        <v>21633.047072363155</v>
      </c>
      <c r="N23" s="65">
        <f t="shared" si="5"/>
        <v>30589.624155469453</v>
      </c>
      <c r="O23" s="65">
        <f t="shared" si="5"/>
        <v>37888.452040665012</v>
      </c>
      <c r="P23" s="65">
        <f t="shared" si="5"/>
        <v>52789.283609834332</v>
      </c>
      <c r="Q23" s="65">
        <f t="shared" si="5"/>
        <v>61612.443588505055</v>
      </c>
      <c r="R23" s="65">
        <f t="shared" si="5"/>
        <v>70017.619517204585</v>
      </c>
      <c r="S23" s="65">
        <f t="shared" si="5"/>
        <v>87030.797373361609</v>
      </c>
    </row>
    <row r="24" spans="2:21" x14ac:dyDescent="0.3">
      <c r="B24" s="70"/>
    </row>
    <row r="25" spans="2:21" x14ac:dyDescent="0.3">
      <c r="C25" s="102" t="s">
        <v>115</v>
      </c>
      <c r="G25" s="101">
        <f>'Raw Data'!B155</f>
        <v>4097</v>
      </c>
      <c r="H25" s="101">
        <f>'Raw Data'!C155</f>
        <v>5469</v>
      </c>
      <c r="I25" s="101">
        <f>'Raw Data'!D155</f>
        <v>7245</v>
      </c>
      <c r="J25" s="101">
        <f>'Raw Data'!V21*10</f>
        <v>8540</v>
      </c>
      <c r="K25" s="18">
        <f>Schedules!K236</f>
        <v>9302.0385522396537</v>
      </c>
      <c r="L25" s="18">
        <f>Schedules!L236</f>
        <v>10794.558638744509</v>
      </c>
      <c r="M25" s="18">
        <f>Schedules!M236</f>
        <v>12621.296307241486</v>
      </c>
      <c r="N25" s="18">
        <f>Schedules!N236</f>
        <v>14914.650426006167</v>
      </c>
      <c r="O25" s="18">
        <f>Schedules!O236</f>
        <v>17756.235378344598</v>
      </c>
      <c r="P25" s="18">
        <f>Schedules!P236</f>
        <v>21277.826307401996</v>
      </c>
      <c r="Q25" s="18">
        <f>Schedules!Q236</f>
        <v>25604.365523196662</v>
      </c>
      <c r="R25" s="18">
        <f>Schedules!R236</f>
        <v>30803.949151607845</v>
      </c>
      <c r="S25" s="18">
        <f>Schedules!S236</f>
        <v>37042.149618824806</v>
      </c>
    </row>
    <row r="26" spans="2:21" s="34" customFormat="1" x14ac:dyDescent="0.3">
      <c r="B26" s="70" t="s">
        <v>372</v>
      </c>
      <c r="C26" s="102"/>
      <c r="G26" s="65">
        <f>G23+G25</f>
        <v>-17304</v>
      </c>
      <c r="H26" s="65">
        <f>H23+H25</f>
        <v>-11199</v>
      </c>
      <c r="I26" s="65">
        <f>I23+I25</f>
        <v>-14710</v>
      </c>
      <c r="J26" s="65">
        <f>J23+J25</f>
        <v>7700</v>
      </c>
      <c r="K26" s="65">
        <f t="shared" ref="K26:S26" si="6">K23+K25</f>
        <v>17093.472282167604</v>
      </c>
      <c r="L26" s="65">
        <f t="shared" si="6"/>
        <v>25392.055648657231</v>
      </c>
      <c r="M26" s="65">
        <f t="shared" si="6"/>
        <v>34254.343379604645</v>
      </c>
      <c r="N26" s="65">
        <f t="shared" si="6"/>
        <v>45504.27458147562</v>
      </c>
      <c r="O26" s="65">
        <f t="shared" si="6"/>
        <v>55644.687419009613</v>
      </c>
      <c r="P26" s="65">
        <f t="shared" si="6"/>
        <v>74067.109917236332</v>
      </c>
      <c r="Q26" s="65">
        <f t="shared" si="6"/>
        <v>87216.809111701717</v>
      </c>
      <c r="R26" s="65">
        <f t="shared" si="6"/>
        <v>100821.56866881243</v>
      </c>
      <c r="S26" s="65">
        <f t="shared" si="6"/>
        <v>124072.94699218642</v>
      </c>
    </row>
    <row r="28" spans="2:21" x14ac:dyDescent="0.3">
      <c r="C28" s="102" t="s">
        <v>357</v>
      </c>
      <c r="G28" s="101">
        <f>'Raw Data'!B156</f>
        <v>336</v>
      </c>
      <c r="H28" s="101">
        <f>'Raw Data'!C156</f>
        <v>320</v>
      </c>
      <c r="I28" s="101">
        <f>'Raw Data'!D156</f>
        <v>180</v>
      </c>
      <c r="J28" s="101">
        <f>'Raw Data'!V23*10</f>
        <v>300</v>
      </c>
      <c r="K28" s="18">
        <f>Schedules!K264</f>
        <v>1181.352569551794</v>
      </c>
      <c r="L28" s="18">
        <f>Schedules!L264</f>
        <v>6513.525316158597</v>
      </c>
      <c r="M28" s="18">
        <f>Schedules!M264</f>
        <v>8621.133141778897</v>
      </c>
      <c r="N28" s="18">
        <f>Schedules!N264</f>
        <v>11452.515826665785</v>
      </c>
      <c r="O28" s="18">
        <f>Schedules!O264</f>
        <v>14004.654929616341</v>
      </c>
      <c r="P28" s="18">
        <f>Schedules!P264</f>
        <v>18641.21022397004</v>
      </c>
      <c r="Q28" s="18">
        <f>Schedules!Q264</f>
        <v>15506.619802354953</v>
      </c>
      <c r="R28" s="18">
        <f>Schedules!R264</f>
        <v>17622.034480090049</v>
      </c>
      <c r="S28" s="18">
        <f>Schedules!S264</f>
        <v>21903.911082927651</v>
      </c>
    </row>
    <row r="29" spans="2:21" s="34" customFormat="1" x14ac:dyDescent="0.3">
      <c r="B29" s="70" t="s">
        <v>373</v>
      </c>
      <c r="C29" s="102"/>
      <c r="G29" s="65">
        <f>G26-G28</f>
        <v>-17640</v>
      </c>
      <c r="H29" s="65">
        <f>H26-H28</f>
        <v>-11519</v>
      </c>
      <c r="I29" s="65">
        <f>I26-I28</f>
        <v>-14890</v>
      </c>
      <c r="J29" s="65">
        <f>J26-J28</f>
        <v>7400</v>
      </c>
      <c r="K29" s="65">
        <f t="shared" ref="K29:S29" si="7">K26-K28</f>
        <v>15912.119712615809</v>
      </c>
      <c r="L29" s="65">
        <f t="shared" si="7"/>
        <v>18878.530332498634</v>
      </c>
      <c r="M29" s="65">
        <f t="shared" si="7"/>
        <v>25633.210237825748</v>
      </c>
      <c r="N29" s="65">
        <f t="shared" si="7"/>
        <v>34051.758754809838</v>
      </c>
      <c r="O29" s="65">
        <f t="shared" si="7"/>
        <v>41640.03248939327</v>
      </c>
      <c r="P29" s="65">
        <f t="shared" si="7"/>
        <v>55425.899693266292</v>
      </c>
      <c r="Q29" s="65">
        <f t="shared" si="7"/>
        <v>71710.189309346766</v>
      </c>
      <c r="R29" s="65">
        <f t="shared" si="7"/>
        <v>83199.534188722377</v>
      </c>
      <c r="S29" s="65">
        <f t="shared" si="7"/>
        <v>102169.03590925878</v>
      </c>
    </row>
    <row r="30" spans="2:21" x14ac:dyDescent="0.3">
      <c r="B30" s="70"/>
    </row>
    <row r="31" spans="2:21" x14ac:dyDescent="0.3">
      <c r="B31" s="70"/>
      <c r="C31" s="102" t="s">
        <v>359</v>
      </c>
      <c r="G31" s="101">
        <f>'Raw Data'!B158</f>
        <v>0</v>
      </c>
      <c r="H31" s="101">
        <f>'Raw Data'!C158</f>
        <v>-57</v>
      </c>
      <c r="I31" s="101">
        <f>'Raw Data'!D158</f>
        <v>8233</v>
      </c>
      <c r="J31" s="101">
        <f>'Raw Data'!V25</f>
        <v>-186</v>
      </c>
      <c r="K31" s="18">
        <v>0</v>
      </c>
      <c r="L31" s="18">
        <v>0</v>
      </c>
      <c r="M31" s="18">
        <v>0</v>
      </c>
      <c r="N31" s="18">
        <v>0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</row>
    <row r="32" spans="2:21" x14ac:dyDescent="0.3">
      <c r="B32" s="70"/>
      <c r="C32" s="102" t="s">
        <v>374</v>
      </c>
      <c r="G32" s="101">
        <f>'Raw Data'!B157</f>
        <v>-125</v>
      </c>
      <c r="H32" s="101">
        <f>'Raw Data'!C157</f>
        <v>-2648</v>
      </c>
      <c r="I32" s="101">
        <f>'Raw Data'!D157</f>
        <v>25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</row>
    <row r="33" spans="2:21" s="34" customFormat="1" x14ac:dyDescent="0.3">
      <c r="B33" s="70" t="s">
        <v>375</v>
      </c>
      <c r="C33" s="102"/>
      <c r="G33" s="65">
        <f>G29+G32+G31</f>
        <v>-17765</v>
      </c>
      <c r="H33" s="65">
        <f>H29+H32+H31</f>
        <v>-14224</v>
      </c>
      <c r="I33" s="65">
        <f>I29+I32+I31</f>
        <v>-6632</v>
      </c>
      <c r="J33" s="65">
        <f t="shared" ref="J33:S33" si="8">J29+J32+J31</f>
        <v>7214</v>
      </c>
      <c r="K33" s="65">
        <f t="shared" si="8"/>
        <v>15912.119712615809</v>
      </c>
      <c r="L33" s="65">
        <f t="shared" si="8"/>
        <v>18878.530332498634</v>
      </c>
      <c r="M33" s="65">
        <f t="shared" si="8"/>
        <v>25633.210237825748</v>
      </c>
      <c r="N33" s="65">
        <f t="shared" si="8"/>
        <v>34051.758754809838</v>
      </c>
      <c r="O33" s="65">
        <f t="shared" si="8"/>
        <v>41640.03248939327</v>
      </c>
      <c r="P33" s="65">
        <f t="shared" si="8"/>
        <v>55425.899693266292</v>
      </c>
      <c r="Q33" s="65">
        <f t="shared" si="8"/>
        <v>71710.189309346766</v>
      </c>
      <c r="R33" s="65">
        <f t="shared" si="8"/>
        <v>83199.534188722377</v>
      </c>
      <c r="S33" s="65">
        <f t="shared" si="8"/>
        <v>102169.03590925878</v>
      </c>
      <c r="U33" s="186"/>
    </row>
    <row r="34" spans="2:21" x14ac:dyDescent="0.3">
      <c r="U34" s="35"/>
    </row>
    <row r="35" spans="2:21" x14ac:dyDescent="0.3">
      <c r="B35" s="99" t="s">
        <v>376</v>
      </c>
      <c r="C35" s="112"/>
      <c r="D35" s="67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115"/>
    </row>
    <row r="36" spans="2:21" x14ac:dyDescent="0.3">
      <c r="B36" s="106"/>
      <c r="C36" s="102" t="s">
        <v>377</v>
      </c>
      <c r="D36" s="3"/>
      <c r="G36" s="31">
        <f>G14/G11</f>
        <v>0.50362111732548998</v>
      </c>
      <c r="H36" s="31">
        <f t="shared" ref="H36:S36" si="9">H14/H11</f>
        <v>0.56580020284749766</v>
      </c>
      <c r="I36" s="31">
        <f t="shared" si="9"/>
        <v>0.53010569526525575</v>
      </c>
      <c r="J36" s="31">
        <f t="shared" si="9"/>
        <v>0.57603413535616921</v>
      </c>
      <c r="K36" s="31">
        <f t="shared" si="9"/>
        <v>0.62695818477316312</v>
      </c>
      <c r="L36" s="31">
        <f t="shared" si="9"/>
        <v>0.63519215562573828</v>
      </c>
      <c r="M36" s="31">
        <f t="shared" si="9"/>
        <v>0.64576060458694196</v>
      </c>
      <c r="N36" s="31">
        <f t="shared" si="9"/>
        <v>0.6560292057880448</v>
      </c>
      <c r="O36" s="31">
        <f t="shared" si="9"/>
        <v>0.66065216336528165</v>
      </c>
      <c r="P36" s="31">
        <f t="shared" si="9"/>
        <v>0.67942461265991783</v>
      </c>
      <c r="Q36" s="31">
        <f t="shared" si="9"/>
        <v>0.68340284923209582</v>
      </c>
      <c r="R36" s="31">
        <f t="shared" si="9"/>
        <v>0.68574370761865389</v>
      </c>
      <c r="S36" s="119">
        <f t="shared" si="9"/>
        <v>0.6872752258268604</v>
      </c>
      <c r="U36" s="35"/>
    </row>
    <row r="37" spans="2:21" x14ac:dyDescent="0.3">
      <c r="B37" s="79"/>
      <c r="C37" s="102" t="s">
        <v>306</v>
      </c>
      <c r="D37" s="3"/>
      <c r="G37" s="31">
        <f>G17/G11</f>
        <v>-0.2041850744027133</v>
      </c>
      <c r="H37" s="31">
        <f>H17/H11</f>
        <v>-9.0881757501653671E-2</v>
      </c>
      <c r="I37" s="31">
        <f>I17/I11</f>
        <v>-0.21832067706219929</v>
      </c>
      <c r="J37" s="31">
        <f>J17/J11</f>
        <v>5.949982221168662E-2</v>
      </c>
      <c r="K37" s="31">
        <f>K17/K11</f>
        <v>0.14420818477316305</v>
      </c>
      <c r="L37" s="31">
        <f t="shared" ref="L37:S37" si="10">L17/L11</f>
        <v>0.17899771118129382</v>
      </c>
      <c r="M37" s="31">
        <f t="shared" si="10"/>
        <v>0.2076911601424975</v>
      </c>
      <c r="N37" s="31">
        <f t="shared" si="10"/>
        <v>0.23390976134360042</v>
      </c>
      <c r="O37" s="31">
        <f t="shared" si="10"/>
        <v>0.24744938558750387</v>
      </c>
      <c r="P37" s="31">
        <f t="shared" si="10"/>
        <v>0.27347183488214005</v>
      </c>
      <c r="Q37" s="31">
        <f t="shared" si="10"/>
        <v>0.277595071454318</v>
      </c>
      <c r="R37" s="31">
        <f t="shared" si="10"/>
        <v>0.28008092984087607</v>
      </c>
      <c r="S37" s="119">
        <f t="shared" si="10"/>
        <v>0.30227522582686028</v>
      </c>
      <c r="U37" s="35"/>
    </row>
    <row r="38" spans="2:21" x14ac:dyDescent="0.3">
      <c r="B38" s="79"/>
      <c r="C38" s="102" t="s">
        <v>378</v>
      </c>
      <c r="D38" s="3"/>
      <c r="G38" s="31">
        <f>G29/G11</f>
        <v>-0.22076768081298576</v>
      </c>
      <c r="H38" s="31">
        <f>H29/H11</f>
        <v>-0.11544629076549941</v>
      </c>
      <c r="I38" s="31">
        <f>I29/I11</f>
        <v>-0.21578459219755378</v>
      </c>
      <c r="J38" s="31">
        <f>J33/J11</f>
        <v>8.5504326182292284E-2</v>
      </c>
      <c r="K38" s="31">
        <f t="shared" ref="K38:S38" si="11">K33/K11</f>
        <v>0.15095850609827249</v>
      </c>
      <c r="L38" s="31">
        <f t="shared" si="11"/>
        <v>0.1440965579162643</v>
      </c>
      <c r="M38" s="31">
        <f t="shared" si="11"/>
        <v>0.16162966457079053</v>
      </c>
      <c r="N38" s="31">
        <f t="shared" si="11"/>
        <v>0.17841844670318541</v>
      </c>
      <c r="O38" s="31">
        <f t="shared" si="11"/>
        <v>0.18783563147536733</v>
      </c>
      <c r="P38" s="31">
        <f t="shared" si="11"/>
        <v>0.20872162535621422</v>
      </c>
      <c r="Q38" s="31">
        <f t="shared" si="11"/>
        <v>0.23561291921013333</v>
      </c>
      <c r="R38" s="31">
        <f t="shared" si="11"/>
        <v>0.24249166481783921</v>
      </c>
      <c r="S38" s="119">
        <f t="shared" si="11"/>
        <v>0.26514605906342492</v>
      </c>
      <c r="U38" s="35"/>
    </row>
    <row r="39" spans="2:21" x14ac:dyDescent="0.3">
      <c r="B39" s="83"/>
      <c r="C39" s="117" t="s">
        <v>379</v>
      </c>
      <c r="D39" s="90"/>
      <c r="E39" s="82"/>
      <c r="F39" s="82"/>
      <c r="G39" s="120">
        <f t="shared" ref="G39:S39" si="12">G33/G91</f>
        <v>-0.13672852096144816</v>
      </c>
      <c r="H39" s="120">
        <f t="shared" si="12"/>
        <v>-0.10696023581784275</v>
      </c>
      <c r="I39" s="120">
        <f t="shared" si="12"/>
        <v>-4.4221882897360155E-2</v>
      </c>
      <c r="J39" s="120">
        <f t="shared" si="12"/>
        <v>4.0814654141161075E-2</v>
      </c>
      <c r="K39" s="120">
        <f t="shared" si="12"/>
        <v>7.3886863073082523E-2</v>
      </c>
      <c r="L39" s="120">
        <f t="shared" si="12"/>
        <v>7.5993281481220989E-2</v>
      </c>
      <c r="M39" s="120">
        <f t="shared" si="12"/>
        <v>8.6694911558159726E-2</v>
      </c>
      <c r="N39" s="120">
        <f t="shared" si="12"/>
        <v>9.4259310972500801E-2</v>
      </c>
      <c r="O39" s="120">
        <f t="shared" si="12"/>
        <v>9.5209785077845915E-2</v>
      </c>
      <c r="P39" s="120">
        <f t="shared" si="12"/>
        <v>0.10401039343074885</v>
      </c>
      <c r="Q39" s="120">
        <f t="shared" si="12"/>
        <v>0.11022303169779993</v>
      </c>
      <c r="R39" s="120">
        <f t="shared" si="12"/>
        <v>0.10630538550756559</v>
      </c>
      <c r="S39" s="87">
        <f t="shared" si="12"/>
        <v>0.10867814007267708</v>
      </c>
      <c r="U39" s="35"/>
    </row>
    <row r="40" spans="2:21" x14ac:dyDescent="0.3">
      <c r="B40" s="34"/>
      <c r="D40" s="34"/>
      <c r="E40" s="58"/>
      <c r="F40" s="34"/>
      <c r="G40" s="184"/>
      <c r="H40" s="184"/>
      <c r="I40" s="184"/>
      <c r="J40" s="184"/>
      <c r="K40" s="34"/>
      <c r="L40" s="34"/>
      <c r="M40" s="34"/>
      <c r="N40" s="34"/>
      <c r="O40" s="34"/>
      <c r="P40" s="34"/>
      <c r="Q40" s="34"/>
    </row>
    <row r="41" spans="2:21" x14ac:dyDescent="0.3">
      <c r="B41" s="34"/>
      <c r="D41" s="92"/>
      <c r="E41" s="93"/>
      <c r="F41" s="92"/>
      <c r="G41" s="266"/>
      <c r="H41" s="266"/>
      <c r="I41" s="266"/>
      <c r="J41" s="266"/>
      <c r="K41" s="266"/>
      <c r="L41" s="266"/>
      <c r="M41" s="266"/>
      <c r="N41" s="266"/>
      <c r="O41" s="266"/>
      <c r="P41" s="266"/>
      <c r="Q41" s="266"/>
      <c r="R41" s="266"/>
      <c r="S41" s="266"/>
    </row>
    <row r="42" spans="2:21" x14ac:dyDescent="0.3">
      <c r="B42" s="84"/>
      <c r="C42" s="112"/>
      <c r="E42" s="55"/>
    </row>
    <row r="43" spans="2:21" x14ac:dyDescent="0.3">
      <c r="E43" s="55"/>
    </row>
    <row r="44" spans="2:21" ht="30" x14ac:dyDescent="0.6">
      <c r="B44" s="21" t="str">
        <f>Cover!$B$8</f>
        <v>ONE 97 COMMUNICATIONS LIMITED</v>
      </c>
      <c r="C44" s="45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</row>
    <row r="45" spans="2:21" ht="19" x14ac:dyDescent="0.4">
      <c r="B45" s="44" t="s">
        <v>380</v>
      </c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22"/>
      <c r="S45" s="22"/>
    </row>
    <row r="46" spans="2:21" x14ac:dyDescent="0.3">
      <c r="B46" s="70" t="str">
        <f>"Now running : "&amp;Assumptions!$H$8</f>
        <v>Now running : Base Case Scenario</v>
      </c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</row>
    <row r="47" spans="2:21" ht="15" thickBot="1" x14ac:dyDescent="0.4">
      <c r="B47" s="109" t="s">
        <v>129</v>
      </c>
      <c r="D47" s="3"/>
      <c r="E47" s="57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3"/>
    </row>
    <row r="48" spans="2:21" x14ac:dyDescent="0.3">
      <c r="B48" s="48" t="s">
        <v>130</v>
      </c>
      <c r="C48" s="110"/>
      <c r="D48" s="48"/>
      <c r="E48" s="56"/>
      <c r="F48" s="3"/>
      <c r="G48" s="48">
        <v>1</v>
      </c>
      <c r="H48" s="48">
        <v>2</v>
      </c>
      <c r="I48" s="48">
        <v>3</v>
      </c>
      <c r="J48" s="48">
        <v>4</v>
      </c>
      <c r="K48" s="48">
        <v>5</v>
      </c>
      <c r="L48" s="48">
        <v>6</v>
      </c>
      <c r="M48" s="48">
        <v>7</v>
      </c>
      <c r="N48" s="48">
        <v>8</v>
      </c>
      <c r="O48" s="48">
        <v>9</v>
      </c>
      <c r="P48" s="48">
        <v>10</v>
      </c>
      <c r="Q48" s="48">
        <v>11</v>
      </c>
      <c r="R48" s="48">
        <v>12</v>
      </c>
      <c r="S48" s="48">
        <v>13</v>
      </c>
    </row>
    <row r="49" spans="2:32" x14ac:dyDescent="0.3">
      <c r="B49" s="3"/>
      <c r="D49" s="3"/>
      <c r="E49" s="56"/>
      <c r="F49" s="3"/>
      <c r="G49" s="49">
        <v>45016</v>
      </c>
      <c r="H49" s="49">
        <f t="shared" ref="H49:Q49" si="13">EOMONTH(G49,12)</f>
        <v>45382</v>
      </c>
      <c r="I49" s="49">
        <f t="shared" si="13"/>
        <v>45747</v>
      </c>
      <c r="J49" s="49">
        <f t="shared" si="13"/>
        <v>46112</v>
      </c>
      <c r="K49" s="49">
        <f t="shared" si="13"/>
        <v>46477</v>
      </c>
      <c r="L49" s="49">
        <f t="shared" si="13"/>
        <v>46843</v>
      </c>
      <c r="M49" s="49">
        <f t="shared" si="13"/>
        <v>47208</v>
      </c>
      <c r="N49" s="49">
        <f t="shared" si="13"/>
        <v>47573</v>
      </c>
      <c r="O49" s="49">
        <f t="shared" si="13"/>
        <v>47938</v>
      </c>
      <c r="P49" s="49">
        <f t="shared" si="13"/>
        <v>48304</v>
      </c>
      <c r="Q49" s="49">
        <f t="shared" si="13"/>
        <v>48669</v>
      </c>
      <c r="R49" s="49">
        <f>EOMONTH(Q49,12)</f>
        <v>49034</v>
      </c>
      <c r="S49" s="49">
        <f>EOMONTH(R49,12)</f>
        <v>49399</v>
      </c>
    </row>
    <row r="50" spans="2:32" ht="14.5" x14ac:dyDescent="0.35">
      <c r="B50" s="3"/>
      <c r="D50" s="3"/>
      <c r="E50" s="56"/>
      <c r="F50" s="3"/>
      <c r="G50" s="49"/>
      <c r="H50" s="49"/>
      <c r="I50" s="49"/>
      <c r="J50" s="51" t="s">
        <v>131</v>
      </c>
      <c r="K50" s="52"/>
      <c r="L50" s="52"/>
      <c r="M50" s="52"/>
      <c r="N50" s="52"/>
      <c r="O50" s="52"/>
      <c r="P50" s="52"/>
      <c r="Q50" s="194"/>
      <c r="R50" s="22"/>
      <c r="S50" s="22"/>
    </row>
    <row r="51" spans="2:32" ht="14.5" thickBot="1" x14ac:dyDescent="0.35">
      <c r="B51" s="3"/>
      <c r="D51" s="3"/>
      <c r="E51" s="57"/>
      <c r="F51" s="47"/>
      <c r="G51" s="74">
        <f t="shared" ref="G51:S51" si="14">YEAR(G49)</f>
        <v>2023</v>
      </c>
      <c r="H51" s="74">
        <f t="shared" si="14"/>
        <v>2024</v>
      </c>
      <c r="I51" s="74">
        <f t="shared" si="14"/>
        <v>2025</v>
      </c>
      <c r="J51" s="74">
        <f t="shared" si="14"/>
        <v>2026</v>
      </c>
      <c r="K51" s="74">
        <f t="shared" si="14"/>
        <v>2027</v>
      </c>
      <c r="L51" s="74">
        <f t="shared" si="14"/>
        <v>2028</v>
      </c>
      <c r="M51" s="74">
        <f t="shared" si="14"/>
        <v>2029</v>
      </c>
      <c r="N51" s="74">
        <f t="shared" si="14"/>
        <v>2030</v>
      </c>
      <c r="O51" s="74">
        <f t="shared" si="14"/>
        <v>2031</v>
      </c>
      <c r="P51" s="74">
        <f t="shared" si="14"/>
        <v>2032</v>
      </c>
      <c r="Q51" s="195">
        <f t="shared" si="14"/>
        <v>2033</v>
      </c>
      <c r="R51" s="195">
        <f t="shared" si="14"/>
        <v>2034</v>
      </c>
      <c r="S51" s="195">
        <f t="shared" si="14"/>
        <v>2035</v>
      </c>
    </row>
    <row r="52" spans="2:32" x14ac:dyDescent="0.3">
      <c r="B52" s="111"/>
      <c r="C52" s="110"/>
      <c r="D52" s="111"/>
    </row>
    <row r="53" spans="2:32" x14ac:dyDescent="0.3">
      <c r="B53" s="70" t="s">
        <v>458</v>
      </c>
    </row>
    <row r="54" spans="2:32" x14ac:dyDescent="0.3">
      <c r="C54" s="102" t="s">
        <v>459</v>
      </c>
      <c r="G54" s="101">
        <f>SUM('Raw Data'!B191:B192)</f>
        <v>70395</v>
      </c>
      <c r="H54" s="101">
        <f>SUM('Raw Data'!C191:C192)</f>
        <v>67999</v>
      </c>
      <c r="I54" s="101">
        <f>SUM('Raw Data'!D191:D192)</f>
        <v>115572</v>
      </c>
      <c r="J54" s="18">
        <f>J143</f>
        <v>115872.28192067558</v>
      </c>
      <c r="K54" s="18">
        <f t="shared" ref="K54:P54" si="15">K143</f>
        <v>134577.62497963745</v>
      </c>
      <c r="L54" s="18">
        <f t="shared" si="15"/>
        <v>165733.77015295139</v>
      </c>
      <c r="M54" s="18">
        <f t="shared" si="15"/>
        <v>203408.52966315701</v>
      </c>
      <c r="N54" s="18">
        <f t="shared" si="15"/>
        <v>249689.6235423141</v>
      </c>
      <c r="O54" s="18">
        <f t="shared" si="15"/>
        <v>304048.2787008633</v>
      </c>
      <c r="P54" s="18">
        <f t="shared" si="15"/>
        <v>373185.68581237859</v>
      </c>
      <c r="Q54" s="18">
        <f>Q143</f>
        <v>447290.81202614959</v>
      </c>
      <c r="R54" s="18">
        <f>R143</f>
        <v>528922.692236125</v>
      </c>
      <c r="S54" s="18">
        <f>S143</f>
        <v>620711.89527964301</v>
      </c>
    </row>
    <row r="55" spans="2:32" x14ac:dyDescent="0.3">
      <c r="C55" s="102" t="s">
        <v>460</v>
      </c>
      <c r="G55" s="101">
        <f>'Raw Data'!B189</f>
        <v>11206</v>
      </c>
      <c r="H55" s="101">
        <f>'Raw Data'!C189</f>
        <v>23340</v>
      </c>
      <c r="I55" s="101">
        <f>'Raw Data'!D189</f>
        <v>15908</v>
      </c>
      <c r="J55" s="18">
        <f>Schedules!J234*Assumptions!$H$142*Assumptions!$H$143</f>
        <v>18122.941196973501</v>
      </c>
      <c r="K55" s="18">
        <f>Schedules!K234*Assumptions!$H$142*Assumptions!$H$143</f>
        <v>21780.197562229318</v>
      </c>
      <c r="L55" s="18">
        <f>Schedules!L234*Assumptions!$H$142*Assumptions!$H$143</f>
        <v>26082.170146892367</v>
      </c>
      <c r="M55" s="18">
        <f>Schedules!M234*Assumptions!$H$142*Assumptions!$H$143</f>
        <v>31480.543989042373</v>
      </c>
      <c r="N55" s="18">
        <f>Schedules!N234*Assumptions!$H$142*Assumptions!$H$143</f>
        <v>38213.370305950317</v>
      </c>
      <c r="O55" s="18">
        <f>Schedules!O234*Assumptions!$H$142*Assumptions!$H$143</f>
        <v>46467.770692299389</v>
      </c>
      <c r="P55" s="18">
        <f>Schedules!P234*Assumptions!$H$142*Assumptions!$H$143</f>
        <v>56743.110492192791</v>
      </c>
      <c r="Q55" s="18">
        <f>Schedules!Q234*Assumptions!$H$142*Assumptions!$H$143</f>
        <v>69190.915431589354</v>
      </c>
      <c r="R55" s="18">
        <f>Schedules!R234*Assumptions!$H$142*Assumptions!$H$143</f>
        <v>84014.408790164336</v>
      </c>
      <c r="S55" s="18">
        <f>Schedules!S234*Assumptions!$H$142*Assumptions!$H$143</f>
        <v>101872.92228373847</v>
      </c>
      <c r="T55" s="60"/>
    </row>
    <row r="56" spans="2:32" x14ac:dyDescent="0.3">
      <c r="C56" s="102" t="s">
        <v>461</v>
      </c>
      <c r="G56" s="101">
        <f>'Raw Data'!B190</f>
        <v>12378</v>
      </c>
      <c r="H56" s="101">
        <f>'Raw Data'!C190</f>
        <v>16507</v>
      </c>
      <c r="I56" s="101">
        <f>'Raw Data'!D190</f>
        <v>12969</v>
      </c>
      <c r="J56" s="18">
        <f>Schedules!J301</f>
        <v>15658.179354502379</v>
      </c>
      <c r="K56" s="18">
        <f>Schedules!K301</f>
        <v>19314.107580454132</v>
      </c>
      <c r="L56" s="18">
        <f>Schedules!L301</f>
        <v>23632.50275593048</v>
      </c>
      <c r="M56" s="18">
        <f>Schedules!M301</f>
        <v>28312.01328181279</v>
      </c>
      <c r="N56" s="18">
        <f>Schedules!N301</f>
        <v>33621.603408193201</v>
      </c>
      <c r="O56" s="18">
        <f>Schedules!O301</f>
        <v>38530.426024708482</v>
      </c>
      <c r="P56" s="18">
        <f>Schedules!P301</f>
        <v>45404.625366101143</v>
      </c>
      <c r="Q56" s="18">
        <f>Schedules!Q301</f>
        <v>51465.362720594021</v>
      </c>
      <c r="R56" s="18">
        <f>Schedules!R301</f>
        <v>57208.857253712951</v>
      </c>
      <c r="S56" s="18">
        <f>Schedules!S301</f>
        <v>63342.10688179011</v>
      </c>
      <c r="U56" s="35"/>
      <c r="V56" s="35"/>
      <c r="W56" s="35"/>
      <c r="X56" s="35"/>
      <c r="Y56" s="35"/>
      <c r="Z56" s="35"/>
      <c r="AA56" s="35"/>
      <c r="AB56" s="35"/>
      <c r="AC56" s="35"/>
      <c r="AD56" s="35"/>
      <c r="AE56" s="35"/>
      <c r="AF56" s="35"/>
    </row>
    <row r="57" spans="2:32" x14ac:dyDescent="0.3">
      <c r="C57" s="102" t="s">
        <v>350</v>
      </c>
      <c r="G57" s="101">
        <f>'Raw Data'!B193</f>
        <v>33577</v>
      </c>
      <c r="H57" s="101">
        <f>'Raw Data'!C193</f>
        <v>20564</v>
      </c>
      <c r="I57" s="101">
        <f>'Raw Data'!D193</f>
        <v>20532</v>
      </c>
      <c r="J57" s="18">
        <f>Schedules!J302</f>
        <v>23774.889871891486</v>
      </c>
      <c r="K57" s="18">
        <f>Schedules!K302</f>
        <v>28042.371205117568</v>
      </c>
      <c r="L57" s="18">
        <f>Schedules!L302</f>
        <v>32790.416251873838</v>
      </c>
      <c r="M57" s="18">
        <f>Schedules!M302</f>
        <v>37194.444253944603</v>
      </c>
      <c r="N57" s="18">
        <f>Schedules!N302</f>
        <v>41753.74837428741</v>
      </c>
      <c r="O57" s="18">
        <f>Schedules!O302</f>
        <v>45005.974044811461</v>
      </c>
      <c r="P57" s="18">
        <f>Schedules!P302</f>
        <v>49727.944119846696</v>
      </c>
      <c r="Q57" s="18">
        <f>Schedules!Q302</f>
        <v>52199.961997025646</v>
      </c>
      <c r="R57" s="18">
        <f>Schedules!R302</f>
        <v>53439.884431072504</v>
      </c>
      <c r="S57" s="18">
        <f>Schedules!S302</f>
        <v>53946.36102765792</v>
      </c>
    </row>
    <row r="58" spans="2:32" x14ac:dyDescent="0.3">
      <c r="C58" s="102" t="s">
        <v>395</v>
      </c>
      <c r="G58" s="101">
        <f>'Raw Data'!B195+'Raw Data'!B194</f>
        <v>12307</v>
      </c>
      <c r="H58" s="101">
        <f>'Raw Data'!C195+'Raw Data'!C194</f>
        <v>8764</v>
      </c>
      <c r="I58" s="101">
        <f>'Raw Data'!D195+'Raw Data'!D194</f>
        <v>5864</v>
      </c>
      <c r="J58" s="18">
        <f>Schedules!J303</f>
        <v>6748.1254446119074</v>
      </c>
      <c r="K58" s="18">
        <f>Schedules!K303</f>
        <v>7903.9055779888613</v>
      </c>
      <c r="L58" s="18">
        <f>Schedules!L303</f>
        <v>9169.1329667129012</v>
      </c>
      <c r="M58" s="18">
        <f>Schedules!M303</f>
        <v>10306.6476353377</v>
      </c>
      <c r="N58" s="18">
        <f>Schedules!N303</f>
        <v>11449.348061757528</v>
      </c>
      <c r="O58" s="18">
        <f>Schedules!O303</f>
        <v>12190.862420941683</v>
      </c>
      <c r="P58" s="18">
        <f>Schedules!P303</f>
        <v>13275.922332157368</v>
      </c>
      <c r="Q58" s="18">
        <f>Schedules!Q303</f>
        <v>13694.834813603762</v>
      </c>
      <c r="R58" s="18">
        <f>Schedules!R303</f>
        <v>13723.43995208235</v>
      </c>
      <c r="S58" s="18">
        <f>Schedules!S303</f>
        <v>13486.59025691448</v>
      </c>
      <c r="U58" s="27"/>
      <c r="V58" s="27"/>
      <c r="W58" s="27"/>
      <c r="X58" s="27"/>
      <c r="Y58" s="27"/>
      <c r="Z58" s="27"/>
      <c r="AA58" s="27"/>
      <c r="AB58" s="27"/>
      <c r="AC58" s="27"/>
      <c r="AD58" s="27"/>
    </row>
    <row r="59" spans="2:32" s="34" customFormat="1" x14ac:dyDescent="0.3">
      <c r="C59" s="229" t="s">
        <v>462</v>
      </c>
      <c r="G59" s="65">
        <f t="shared" ref="G59:S59" si="16">SUM(G54:G58)</f>
        <v>139863</v>
      </c>
      <c r="H59" s="65">
        <f t="shared" si="16"/>
        <v>137174</v>
      </c>
      <c r="I59" s="65">
        <f t="shared" si="16"/>
        <v>170845</v>
      </c>
      <c r="J59" s="65">
        <f t="shared" si="16"/>
        <v>180176.41778865489</v>
      </c>
      <c r="K59" s="65">
        <f t="shared" si="16"/>
        <v>211618.2069054273</v>
      </c>
      <c r="L59" s="65">
        <f t="shared" si="16"/>
        <v>257407.99227436096</v>
      </c>
      <c r="M59" s="65">
        <f t="shared" si="16"/>
        <v>310702.17882329453</v>
      </c>
      <c r="N59" s="65">
        <f t="shared" si="16"/>
        <v>374727.69369250257</v>
      </c>
      <c r="O59" s="65">
        <f t="shared" si="16"/>
        <v>446243.31188362435</v>
      </c>
      <c r="P59" s="65">
        <f t="shared" si="16"/>
        <v>538337.28812267666</v>
      </c>
      <c r="Q59" s="65">
        <f t="shared" si="16"/>
        <v>633841.88698896242</v>
      </c>
      <c r="R59" s="65">
        <f t="shared" si="16"/>
        <v>737309.28266315721</v>
      </c>
      <c r="S59" s="65">
        <f t="shared" si="16"/>
        <v>853359.87572974397</v>
      </c>
    </row>
    <row r="61" spans="2:32" x14ac:dyDescent="0.3">
      <c r="C61" s="3" t="s">
        <v>463</v>
      </c>
      <c r="G61" s="101">
        <f>'Raw Data'!B178</f>
        <v>8465</v>
      </c>
      <c r="H61" s="101">
        <f>'Raw Data'!C178</f>
        <v>9409</v>
      </c>
      <c r="I61" s="101">
        <f>'Raw Data'!D178</f>
        <v>6497</v>
      </c>
      <c r="J61" s="18">
        <f>Schedules!J164</f>
        <v>11462.214391388125</v>
      </c>
      <c r="K61" s="18">
        <f>Schedules!K164</f>
        <v>11041.774226467074</v>
      </c>
      <c r="L61" s="18">
        <f>Schedules!L164</f>
        <v>14049.617399076224</v>
      </c>
      <c r="M61" s="18">
        <f>Schedules!M164</f>
        <v>18080.978758731868</v>
      </c>
      <c r="N61" s="18">
        <f>Schedules!N164</f>
        <v>22652.631465885159</v>
      </c>
      <c r="O61" s="18">
        <f>Schedules!O164</f>
        <v>27489.672376309598</v>
      </c>
      <c r="P61" s="18">
        <f>Schedules!P164</f>
        <v>32236.925795807048</v>
      </c>
      <c r="Q61" s="18">
        <f>Schedules!Q164</f>
        <v>52178.359915434892</v>
      </c>
      <c r="R61" s="18">
        <f>Schedules!R164</f>
        <v>74832.160064696029</v>
      </c>
      <c r="S61" s="18">
        <f>Schedules!S164</f>
        <v>100380.86896187667</v>
      </c>
    </row>
    <row r="62" spans="2:32" x14ac:dyDescent="0.3">
      <c r="C62" s="3" t="s">
        <v>464</v>
      </c>
      <c r="G62" s="101">
        <f>'Raw Data'!B179</f>
        <v>2883</v>
      </c>
      <c r="H62" s="101">
        <f>'Raw Data'!C179</f>
        <v>2361</v>
      </c>
      <c r="I62" s="101">
        <f>'Raw Data'!D179</f>
        <v>2117</v>
      </c>
      <c r="J62" s="18">
        <f>Schedules!J169</f>
        <v>2275.0765361833251</v>
      </c>
      <c r="K62" s="18">
        <f>Schedules!K169</f>
        <v>2834.3147965721578</v>
      </c>
      <c r="L62" s="18">
        <f>Schedules!L169</f>
        <v>3377.2537849442388</v>
      </c>
      <c r="M62" s="18">
        <f>Schedules!M169</f>
        <v>3911.9675249698148</v>
      </c>
      <c r="N62" s="18">
        <f>Schedules!N169</f>
        <v>4495.6803104183255</v>
      </c>
      <c r="O62" s="18">
        <f>Schedules!O169</f>
        <v>4975.5816832051814</v>
      </c>
      <c r="P62" s="18">
        <f>Schedules!P169</f>
        <v>5665.0740720193944</v>
      </c>
      <c r="Q62" s="18">
        <f>Schedules!Q169</f>
        <v>6154.7722740012987</v>
      </c>
      <c r="R62" s="18">
        <f>Schedules!R169</f>
        <v>6557.090558185344</v>
      </c>
      <c r="S62" s="18">
        <f>Schedules!S169</f>
        <v>6935.9769035560166</v>
      </c>
    </row>
    <row r="63" spans="2:32" x14ac:dyDescent="0.3">
      <c r="C63" s="3" t="s">
        <v>385</v>
      </c>
      <c r="G63" s="101">
        <f>'Raw Data'!B180</f>
        <v>443</v>
      </c>
      <c r="H63" s="101">
        <f>'Raw Data'!C180</f>
        <v>443</v>
      </c>
      <c r="I63" s="101">
        <f>'Raw Data'!D180</f>
        <v>0</v>
      </c>
      <c r="J63" s="18">
        <f>'Raw Data'!E180</f>
        <v>0</v>
      </c>
      <c r="K63" s="18">
        <f>'Raw Data'!F180</f>
        <v>0</v>
      </c>
      <c r="L63" s="18">
        <f>'Raw Data'!G180</f>
        <v>0</v>
      </c>
      <c r="M63" s="18">
        <f>'Raw Data'!H180</f>
        <v>0</v>
      </c>
      <c r="N63" s="18">
        <f>'Raw Data'!I180</f>
        <v>0</v>
      </c>
      <c r="O63" s="18">
        <f>'Raw Data'!J180</f>
        <v>0</v>
      </c>
      <c r="P63" s="18">
        <f>'Raw Data'!K180</f>
        <v>0</v>
      </c>
      <c r="Q63" s="18">
        <f>'Raw Data'!L180</f>
        <v>0</v>
      </c>
      <c r="R63" s="18">
        <f>'Raw Data'!M180</f>
        <v>0</v>
      </c>
      <c r="S63" s="18">
        <f>'Raw Data'!N180</f>
        <v>0</v>
      </c>
    </row>
    <row r="64" spans="2:32" x14ac:dyDescent="0.3">
      <c r="C64" s="3" t="s">
        <v>465</v>
      </c>
      <c r="G64" s="101">
        <f>'Raw Data'!B181</f>
        <v>42</v>
      </c>
      <c r="H64" s="101">
        <f>'Raw Data'!C181</f>
        <v>396</v>
      </c>
      <c r="I64" s="101">
        <f>'Raw Data'!D181</f>
        <v>438</v>
      </c>
      <c r="J64" s="18">
        <f>Schedules!J176</f>
        <v>46.852941176470608</v>
      </c>
      <c r="K64" s="18">
        <f>Schedules!K176</f>
        <v>0</v>
      </c>
      <c r="L64" s="18">
        <f>Schedules!L176</f>
        <v>0</v>
      </c>
      <c r="M64" s="18">
        <f>Schedules!M176</f>
        <v>0</v>
      </c>
      <c r="N64" s="18">
        <f>Schedules!N176</f>
        <v>0</v>
      </c>
      <c r="O64" s="18">
        <f>Schedules!O176</f>
        <v>0</v>
      </c>
      <c r="P64" s="18">
        <f>Schedules!P176</f>
        <v>0</v>
      </c>
      <c r="Q64" s="18">
        <f>Schedules!Q176</f>
        <v>0</v>
      </c>
      <c r="R64" s="18">
        <f>Schedules!R176</f>
        <v>0</v>
      </c>
      <c r="S64" s="18">
        <f>Schedules!S176</f>
        <v>0</v>
      </c>
    </row>
    <row r="65" spans="2:20" x14ac:dyDescent="0.3">
      <c r="C65" s="3" t="s">
        <v>466</v>
      </c>
      <c r="G65" s="101">
        <f>'Raw Data'!B182</f>
        <v>1485</v>
      </c>
      <c r="H65" s="101">
        <f>'Raw Data'!C182</f>
        <v>9020</v>
      </c>
      <c r="I65" s="101">
        <f>'Raw Data'!D182</f>
        <v>25232</v>
      </c>
      <c r="J65" s="18">
        <f>(1-Assumptions!$H$142)*Schedules!J234*Assumptions!$H$143</f>
        <v>33656.89079437936</v>
      </c>
      <c r="K65" s="18">
        <f>(1-Assumptions!$H$142)*Schedules!K234*Assumptions!$H$143</f>
        <v>40448.938329854449</v>
      </c>
      <c r="L65" s="18">
        <f>(1-Assumptions!$H$142)*Schedules!L234*Assumptions!$H$143</f>
        <v>48438.315987085822</v>
      </c>
      <c r="M65" s="18">
        <f>(1-Assumptions!$H$142)*Schedules!M234*Assumptions!$H$143</f>
        <v>58463.867408221558</v>
      </c>
      <c r="N65" s="18">
        <f>(1-Assumptions!$H$142)*Schedules!N234*Assumptions!$H$143</f>
        <v>70967.687711050603</v>
      </c>
      <c r="O65" s="18">
        <f>(1-Assumptions!$H$142)*Schedules!O234*Assumptions!$H$143</f>
        <v>86297.288428556014</v>
      </c>
      <c r="P65" s="18">
        <f>(1-Assumptions!$H$142)*Schedules!P234*Assumptions!$H$143</f>
        <v>105380.06234264375</v>
      </c>
      <c r="Q65" s="18">
        <f>(1-Assumptions!$H$142)*Schedules!Q234*Assumptions!$H$143</f>
        <v>128497.41437295167</v>
      </c>
      <c r="R65" s="18">
        <f>(1-Assumptions!$H$142)*Schedules!R234*Assumptions!$H$143</f>
        <v>156026.7591817338</v>
      </c>
      <c r="S65" s="18">
        <f>(1-Assumptions!$H$142)*Schedules!S234*Assumptions!$H$143</f>
        <v>189192.56995551434</v>
      </c>
      <c r="T65" s="35"/>
    </row>
    <row r="66" spans="2:20" x14ac:dyDescent="0.3">
      <c r="C66" s="3" t="s">
        <v>388</v>
      </c>
      <c r="G66" s="101">
        <f>'Raw Data'!B184</f>
        <v>85</v>
      </c>
      <c r="H66" s="101">
        <f>'Raw Data'!C184</f>
        <v>119</v>
      </c>
      <c r="I66" s="101">
        <f>'Raw Data'!D184</f>
        <v>112</v>
      </c>
      <c r="J66" s="18">
        <f>'Financial Statements'!$I$66</f>
        <v>112</v>
      </c>
      <c r="K66" s="18">
        <f>'Financial Statements'!$I$66</f>
        <v>112</v>
      </c>
      <c r="L66" s="18">
        <f>'Financial Statements'!$I$66</f>
        <v>112</v>
      </c>
      <c r="M66" s="18">
        <f>'Financial Statements'!$I$66</f>
        <v>112</v>
      </c>
      <c r="N66" s="18">
        <f>'Financial Statements'!$I$66</f>
        <v>112</v>
      </c>
      <c r="O66" s="18">
        <f>'Financial Statements'!$I$66</f>
        <v>112</v>
      </c>
      <c r="P66" s="18">
        <f>'Financial Statements'!$I$66</f>
        <v>112</v>
      </c>
      <c r="Q66" s="18">
        <f>'Financial Statements'!$I$66</f>
        <v>112</v>
      </c>
      <c r="R66" s="18">
        <f>'Financial Statements'!$I$66</f>
        <v>112</v>
      </c>
      <c r="S66" s="18">
        <f>'Financial Statements'!$I$66</f>
        <v>112</v>
      </c>
    </row>
    <row r="67" spans="2:20" x14ac:dyDescent="0.3">
      <c r="C67" s="3" t="s">
        <v>389</v>
      </c>
      <c r="G67" s="101">
        <f>'Raw Data'!B185</f>
        <v>5797</v>
      </c>
      <c r="H67" s="101">
        <f>'Raw Data'!C185</f>
        <v>6585</v>
      </c>
      <c r="I67" s="101">
        <f>'Raw Data'!D185</f>
        <v>6125</v>
      </c>
      <c r="J67" s="18">
        <f>Schedules!J268</f>
        <v>7700</v>
      </c>
      <c r="K67" s="18">
        <f>Schedules!K268</f>
        <v>17093.472282167604</v>
      </c>
      <c r="L67" s="18">
        <f>Schedules!L268</f>
        <v>6484.5277178323959</v>
      </c>
      <c r="M67" s="18">
        <f>Schedules!M268</f>
        <v>0</v>
      </c>
      <c r="N67" s="18">
        <f>Schedules!N268</f>
        <v>0</v>
      </c>
      <c r="O67" s="18">
        <f>Schedules!O268</f>
        <v>0</v>
      </c>
      <c r="P67" s="18">
        <f>Schedules!P268</f>
        <v>0</v>
      </c>
      <c r="Q67" s="18">
        <f>Schedules!Q268</f>
        <v>0</v>
      </c>
      <c r="R67" s="18">
        <f>Schedules!R268</f>
        <v>0</v>
      </c>
      <c r="S67" s="18">
        <f>Schedules!S268</f>
        <v>0</v>
      </c>
    </row>
    <row r="68" spans="2:20" x14ac:dyDescent="0.3">
      <c r="C68" s="3" t="s">
        <v>467</v>
      </c>
      <c r="G68" s="101">
        <f>'Raw Data'!B183</f>
        <v>14306</v>
      </c>
      <c r="H68" s="101">
        <f>'Raw Data'!C183</f>
        <v>13854</v>
      </c>
      <c r="I68" s="101">
        <f>'Raw Data'!D183</f>
        <v>408</v>
      </c>
      <c r="J68" s="18">
        <f>$I$68</f>
        <v>408</v>
      </c>
      <c r="K68" s="18">
        <f t="shared" ref="K68:S68" si="17">$I$68</f>
        <v>408</v>
      </c>
      <c r="L68" s="18">
        <f t="shared" si="17"/>
        <v>408</v>
      </c>
      <c r="M68" s="18">
        <f t="shared" si="17"/>
        <v>408</v>
      </c>
      <c r="N68" s="18">
        <f t="shared" si="17"/>
        <v>408</v>
      </c>
      <c r="O68" s="18">
        <f t="shared" si="17"/>
        <v>408</v>
      </c>
      <c r="P68" s="18">
        <f t="shared" si="17"/>
        <v>408</v>
      </c>
      <c r="Q68" s="18">
        <f t="shared" si="17"/>
        <v>408</v>
      </c>
      <c r="R68" s="18">
        <f t="shared" si="17"/>
        <v>408</v>
      </c>
      <c r="S68" s="18">
        <f t="shared" si="17"/>
        <v>408</v>
      </c>
    </row>
    <row r="69" spans="2:20" x14ac:dyDescent="0.3">
      <c r="C69" s="3" t="s">
        <v>468</v>
      </c>
      <c r="G69" s="101">
        <f>'Raw Data'!B186</f>
        <v>6289</v>
      </c>
      <c r="H69" s="101">
        <f>'Raw Data'!C186</f>
        <v>7567</v>
      </c>
      <c r="I69" s="101">
        <f>'Raw Data'!D186</f>
        <v>2703</v>
      </c>
      <c r="J69" s="18">
        <f>$I$69</f>
        <v>2703</v>
      </c>
      <c r="K69" s="18">
        <f t="shared" ref="K69:S69" si="18">$I$69</f>
        <v>2703</v>
      </c>
      <c r="L69" s="18">
        <f t="shared" si="18"/>
        <v>2703</v>
      </c>
      <c r="M69" s="18">
        <f t="shared" si="18"/>
        <v>2703</v>
      </c>
      <c r="N69" s="18">
        <f t="shared" si="18"/>
        <v>2703</v>
      </c>
      <c r="O69" s="18">
        <f t="shared" si="18"/>
        <v>2703</v>
      </c>
      <c r="P69" s="18">
        <f t="shared" si="18"/>
        <v>2703</v>
      </c>
      <c r="Q69" s="18">
        <f t="shared" si="18"/>
        <v>2703</v>
      </c>
      <c r="R69" s="18">
        <f t="shared" si="18"/>
        <v>2703</v>
      </c>
      <c r="S69" s="18">
        <f t="shared" si="18"/>
        <v>2703</v>
      </c>
    </row>
    <row r="70" spans="2:20" s="34" customFormat="1" x14ac:dyDescent="0.3">
      <c r="C70" s="70" t="s">
        <v>482</v>
      </c>
      <c r="G70" s="65">
        <f>SUM(G61:G69)</f>
        <v>39795</v>
      </c>
      <c r="H70" s="65">
        <f t="shared" ref="H70:S70" si="19">SUM(H61:H69)</f>
        <v>49754</v>
      </c>
      <c r="I70" s="65">
        <f t="shared" si="19"/>
        <v>43632</v>
      </c>
      <c r="J70" s="65">
        <f t="shared" si="19"/>
        <v>58364.034663127284</v>
      </c>
      <c r="K70" s="65">
        <f t="shared" si="19"/>
        <v>74641.499635061278</v>
      </c>
      <c r="L70" s="65">
        <f t="shared" si="19"/>
        <v>75572.714888938674</v>
      </c>
      <c r="M70" s="65">
        <f t="shared" si="19"/>
        <v>83679.813691923249</v>
      </c>
      <c r="N70" s="65">
        <f t="shared" si="19"/>
        <v>101338.99948735409</v>
      </c>
      <c r="O70" s="65">
        <f t="shared" si="19"/>
        <v>121985.54248807079</v>
      </c>
      <c r="P70" s="65">
        <f t="shared" si="19"/>
        <v>146505.06221047021</v>
      </c>
      <c r="Q70" s="65">
        <f t="shared" si="19"/>
        <v>190053.54656238784</v>
      </c>
      <c r="R70" s="65">
        <f t="shared" si="19"/>
        <v>240639.00980461517</v>
      </c>
      <c r="S70" s="65">
        <f t="shared" si="19"/>
        <v>299732.41582094703</v>
      </c>
    </row>
    <row r="72" spans="2:20" s="34" customFormat="1" ht="14.5" thickBot="1" x14ac:dyDescent="0.35">
      <c r="C72" s="70" t="s">
        <v>469</v>
      </c>
      <c r="G72" s="72">
        <f>SUM(G70,G59)</f>
        <v>179658</v>
      </c>
      <c r="H72" s="72">
        <f t="shared" ref="H72:S72" si="20">SUM(H70,H59)</f>
        <v>186928</v>
      </c>
      <c r="I72" s="72">
        <f t="shared" si="20"/>
        <v>214477</v>
      </c>
      <c r="J72" s="72">
        <f t="shared" si="20"/>
        <v>238540.45245178218</v>
      </c>
      <c r="K72" s="72">
        <f t="shared" si="20"/>
        <v>286259.70654048858</v>
      </c>
      <c r="L72" s="72">
        <f t="shared" si="20"/>
        <v>332980.70716329967</v>
      </c>
      <c r="M72" s="72">
        <f t="shared" si="20"/>
        <v>394381.99251521775</v>
      </c>
      <c r="N72" s="72">
        <f t="shared" si="20"/>
        <v>476066.69317985664</v>
      </c>
      <c r="O72" s="72">
        <f t="shared" si="20"/>
        <v>568228.85437169508</v>
      </c>
      <c r="P72" s="72">
        <f t="shared" si="20"/>
        <v>684842.35033314687</v>
      </c>
      <c r="Q72" s="72">
        <f t="shared" si="20"/>
        <v>823895.43355135026</v>
      </c>
      <c r="R72" s="72">
        <f t="shared" si="20"/>
        <v>977948.29246777238</v>
      </c>
      <c r="S72" s="72">
        <f t="shared" si="20"/>
        <v>1153092.291550691</v>
      </c>
    </row>
    <row r="73" spans="2:20" ht="14.5" thickTop="1" x14ac:dyDescent="0.3"/>
    <row r="74" spans="2:20" x14ac:dyDescent="0.3">
      <c r="B74" s="70" t="s">
        <v>470</v>
      </c>
    </row>
    <row r="75" spans="2:20" x14ac:dyDescent="0.3">
      <c r="B75" s="70"/>
      <c r="C75" s="3" t="s">
        <v>405</v>
      </c>
      <c r="G75" s="101">
        <f>'Raw Data'!B209</f>
        <v>20</v>
      </c>
      <c r="H75" s="101">
        <f>'Raw Data'!C209</f>
        <v>0</v>
      </c>
      <c r="I75" s="101">
        <f>'Raw Data'!D209</f>
        <v>48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v>0</v>
      </c>
      <c r="P75" s="18">
        <v>0</v>
      </c>
      <c r="Q75" s="18">
        <v>0</v>
      </c>
      <c r="R75" s="18">
        <v>0</v>
      </c>
      <c r="S75" s="18">
        <v>0</v>
      </c>
    </row>
    <row r="76" spans="2:20" x14ac:dyDescent="0.3">
      <c r="B76" s="70"/>
      <c r="C76" s="3" t="s">
        <v>480</v>
      </c>
      <c r="G76" s="101">
        <f>'Raw Data'!B213</f>
        <v>2528</v>
      </c>
      <c r="H76" s="101">
        <f>'Raw Data'!C213</f>
        <v>2624</v>
      </c>
      <c r="I76" s="101">
        <f>'Raw Data'!D213</f>
        <v>1757</v>
      </c>
      <c r="J76" s="18">
        <f>Schedules!J305</f>
        <v>2186.5382215523737</v>
      </c>
      <c r="K76" s="18">
        <f>Schedules!K305</f>
        <v>2779.5714227209169</v>
      </c>
      <c r="L76" s="18">
        <f>Schedules!L305</f>
        <v>3514.2423744012558</v>
      </c>
      <c r="M76" s="18">
        <f>Schedules!M305</f>
        <v>4325.9799847114373</v>
      </c>
      <c r="N76" s="18">
        <f>Schedules!N305</f>
        <v>5292.5821950242971</v>
      </c>
      <c r="O76" s="18">
        <f>Schedules!O305</f>
        <v>6248.1268475429551</v>
      </c>
      <c r="P76" s="18">
        <f>Schedules!P305</f>
        <v>7604.9859435399039</v>
      </c>
      <c r="Q76" s="18">
        <f>Schedules!Q305</f>
        <v>8854.4622549593332</v>
      </c>
      <c r="R76" s="18">
        <f>Schedules!R305</f>
        <v>10137.389706410413</v>
      </c>
      <c r="S76" s="18">
        <f>Schedules!S305</f>
        <v>11559.934505926696</v>
      </c>
    </row>
    <row r="77" spans="2:20" x14ac:dyDescent="0.3">
      <c r="B77" s="70"/>
      <c r="C77" s="3" t="s">
        <v>481</v>
      </c>
      <c r="G77" s="101">
        <f>'Raw Data'!B211</f>
        <v>8589</v>
      </c>
      <c r="H77" s="101">
        <f>'Raw Data'!C211</f>
        <v>6842</v>
      </c>
      <c r="I77" s="101">
        <f>'Raw Data'!D211</f>
        <v>7409</v>
      </c>
      <c r="J77" s="18">
        <f>Schedules!J304</f>
        <v>6367.1213492032484</v>
      </c>
      <c r="K77" s="18">
        <f>Schedules!K304</f>
        <v>7568.7898880595158</v>
      </c>
      <c r="L77" s="18">
        <f>Schedules!L304</f>
        <v>9023.0016387535161</v>
      </c>
      <c r="M77" s="18">
        <f>Schedules!M304</f>
        <v>10700.607558512267</v>
      </c>
      <c r="N77" s="18">
        <f>Schedules!N304</f>
        <v>12621.179185466683</v>
      </c>
      <c r="O77" s="18">
        <f>Schedules!O304</f>
        <v>14592.139423735993</v>
      </c>
      <c r="P77" s="18">
        <f>Schedules!P304</f>
        <v>17409.802029153245</v>
      </c>
      <c r="Q77" s="18">
        <f>Schedules!Q304</f>
        <v>20327.618439089245</v>
      </c>
      <c r="R77" s="18">
        <f>Schedules!R304</f>
        <v>23274.746960099674</v>
      </c>
      <c r="S77" s="18">
        <f>Schedules!S304</f>
        <v>25199.601521138837</v>
      </c>
    </row>
    <row r="78" spans="2:20" x14ac:dyDescent="0.3">
      <c r="B78" s="70"/>
      <c r="C78" s="3" t="s">
        <v>455</v>
      </c>
      <c r="G78" s="101">
        <f>'Raw Data'!B215</f>
        <v>1528</v>
      </c>
      <c r="H78" s="101">
        <f>'Raw Data'!C215</f>
        <v>2713</v>
      </c>
      <c r="I78" s="101">
        <f>'Raw Data'!D215</f>
        <v>2315</v>
      </c>
      <c r="J78" s="18">
        <f>Schedules!J306</f>
        <v>2298.702118930144</v>
      </c>
      <c r="K78" s="18">
        <f>Schedules!K306</f>
        <v>2643.1184314073944</v>
      </c>
      <c r="L78" s="18">
        <f>Schedules!L306</f>
        <v>2976.8231137014268</v>
      </c>
      <c r="M78" s="18">
        <f>Schedules!M306</f>
        <v>3331.6569486547132</v>
      </c>
      <c r="N78" s="18">
        <f>Schedules!N306</f>
        <v>3727.3472010564797</v>
      </c>
      <c r="O78" s="18">
        <f>Schedules!O306</f>
        <v>4175.4839807011876</v>
      </c>
      <c r="P78" s="18">
        <f>Schedules!P306</f>
        <v>4739.1900071406308</v>
      </c>
      <c r="Q78" s="18">
        <f>Schedules!Q306</f>
        <v>5398.9262093394154</v>
      </c>
      <c r="R78" s="18">
        <f>Schedules!R306</f>
        <v>6063.050395309031</v>
      </c>
      <c r="S78" s="18">
        <f>Schedules!S306</f>
        <v>6129.8960463790318</v>
      </c>
    </row>
    <row r="79" spans="2:20" x14ac:dyDescent="0.3">
      <c r="B79" s="70"/>
      <c r="C79" s="3" t="s">
        <v>471</v>
      </c>
      <c r="G79" s="101">
        <f>'Raw Data'!B212</f>
        <v>27631</v>
      </c>
      <c r="H79" s="101">
        <f>'Raw Data'!C212</f>
        <v>34888</v>
      </c>
      <c r="I79" s="101">
        <f>'Raw Data'!D212</f>
        <v>47842</v>
      </c>
      <c r="J79" s="18">
        <f>Schedules!J307</f>
        <v>45243.159651000962</v>
      </c>
      <c r="K79" s="18">
        <f>Schedules!K307</f>
        <v>51531.825883637386</v>
      </c>
      <c r="L79" s="18">
        <f>Schedules!L307</f>
        <v>61563.778670469488</v>
      </c>
      <c r="M79" s="18">
        <f>Schedules!M307</f>
        <v>72056.065506408559</v>
      </c>
      <c r="N79" s="18">
        <f>Schedules!N307</f>
        <v>84004.016804805753</v>
      </c>
      <c r="O79" s="18">
        <f>Schedules!O307</f>
        <v>96031.513224507886</v>
      </c>
      <c r="P79" s="18">
        <f>Schedules!P307</f>
        <v>111266.8567260476</v>
      </c>
      <c r="Q79" s="18">
        <f>Schedules!Q307</f>
        <v>127043.38498020051</v>
      </c>
      <c r="R79" s="18">
        <f>Schedules!R307</f>
        <v>142993.83727752676</v>
      </c>
      <c r="S79" s="18">
        <f>Schedules!S307</f>
        <v>155935.95205701044</v>
      </c>
    </row>
    <row r="80" spans="2:20" x14ac:dyDescent="0.3">
      <c r="B80" s="70"/>
      <c r="C80" s="3" t="s">
        <v>472</v>
      </c>
      <c r="G80" s="101">
        <f>'Raw Data'!B210</f>
        <v>337</v>
      </c>
      <c r="H80" s="101">
        <f>'Raw Data'!C210</f>
        <v>317</v>
      </c>
      <c r="I80" s="101">
        <f>'Raw Data'!D210</f>
        <v>342</v>
      </c>
      <c r="J80" s="18">
        <f>Schedules!J209*Assumptions!$H$145</f>
        <v>413.71917448718125</v>
      </c>
      <c r="K80" s="18">
        <f>Schedules!K209*Assumptions!$H$145</f>
        <v>488.80907426569797</v>
      </c>
      <c r="L80" s="18">
        <f>Schedules!L209*Assumptions!$H$145</f>
        <v>549.99873434481049</v>
      </c>
      <c r="M80" s="18">
        <f>Schedules!M209*Assumptions!$H$145</f>
        <v>595.9734876970748</v>
      </c>
      <c r="N80" s="18">
        <f>Schedules!N209*Assumptions!$H$145</f>
        <v>633.21355430156711</v>
      </c>
      <c r="O80" s="18">
        <f>Schedules!O209*Assumptions!$H$145</f>
        <v>635.13130773098942</v>
      </c>
      <c r="P80" s="18">
        <f>Schedules!P209*Assumptions!$H$145</f>
        <v>672.50920615890686</v>
      </c>
      <c r="Q80" s="18">
        <f>Schedules!Q209*Assumptions!$H$145</f>
        <v>711.8793739495552</v>
      </c>
      <c r="R80" s="18">
        <f>Schedules!R209*Assumptions!$H$145</f>
        <v>777.12703923217464</v>
      </c>
      <c r="S80" s="18">
        <f>Schedules!S209*Assumptions!$H$145</f>
        <v>879.56943502656304</v>
      </c>
    </row>
    <row r="81" spans="2:21" x14ac:dyDescent="0.3">
      <c r="B81" s="70"/>
      <c r="C81" s="3" t="s">
        <v>473</v>
      </c>
      <c r="G81" s="101">
        <f>'Raw Data'!B214</f>
        <v>4236</v>
      </c>
      <c r="H81" s="101">
        <f>'Raw Data'!C214</f>
        <v>3306</v>
      </c>
      <c r="I81" s="101">
        <f>'Raw Data'!D214</f>
        <v>2151</v>
      </c>
      <c r="J81" s="18">
        <f>Schedules!J308</f>
        <v>2030.3691656139599</v>
      </c>
      <c r="K81" s="18">
        <f>Schedules!K308</f>
        <v>2308.2891122003621</v>
      </c>
      <c r="L81" s="18">
        <f>Schedules!L308</f>
        <v>2752.5430260644612</v>
      </c>
      <c r="M81" s="18">
        <f>Schedules!M308</f>
        <v>3215.6972041981585</v>
      </c>
      <c r="N81" s="18">
        <f>Schedules!N308</f>
        <v>3741.9845110845044</v>
      </c>
      <c r="O81" s="18">
        <f>Schedules!O308</f>
        <v>4269.8694930175079</v>
      </c>
      <c r="P81" s="18">
        <f>Schedules!P308</f>
        <v>4938.1821618897102</v>
      </c>
      <c r="Q81" s="18">
        <f>Schedules!Q308</f>
        <v>5628.0164394138119</v>
      </c>
      <c r="R81" s="18">
        <f>Schedules!R308</f>
        <v>6323.0146046148766</v>
      </c>
      <c r="S81" s="18">
        <f>Schedules!S308</f>
        <v>6882.6902976887377</v>
      </c>
    </row>
    <row r="82" spans="2:21" s="34" customFormat="1" x14ac:dyDescent="0.3">
      <c r="B82" s="70"/>
      <c r="C82" s="70" t="s">
        <v>474</v>
      </c>
      <c r="G82" s="65">
        <f>SUM(G75:G81)</f>
        <v>44869</v>
      </c>
      <c r="H82" s="65">
        <f t="shared" ref="H82:S82" si="21">SUM(H75:H81)</f>
        <v>50690</v>
      </c>
      <c r="I82" s="65">
        <f t="shared" si="21"/>
        <v>61864</v>
      </c>
      <c r="J82" s="65">
        <f t="shared" si="21"/>
        <v>58539.609680787864</v>
      </c>
      <c r="K82" s="65">
        <f t="shared" si="21"/>
        <v>67320.403812291275</v>
      </c>
      <c r="L82" s="65">
        <f t="shared" si="21"/>
        <v>80380.387557734968</v>
      </c>
      <c r="M82" s="65">
        <f t="shared" si="21"/>
        <v>94225.980690182216</v>
      </c>
      <c r="N82" s="65">
        <f t="shared" si="21"/>
        <v>110020.32345173927</v>
      </c>
      <c r="O82" s="65">
        <f t="shared" si="21"/>
        <v>125952.26427723652</v>
      </c>
      <c r="P82" s="65">
        <f t="shared" si="21"/>
        <v>146631.52607392997</v>
      </c>
      <c r="Q82" s="65">
        <f t="shared" si="21"/>
        <v>167964.28769695188</v>
      </c>
      <c r="R82" s="65">
        <f t="shared" si="21"/>
        <v>189569.16598319291</v>
      </c>
      <c r="S82" s="65">
        <f t="shared" si="21"/>
        <v>206587.64386317029</v>
      </c>
      <c r="T82" s="64"/>
      <c r="U82" s="64"/>
    </row>
    <row r="83" spans="2:21" x14ac:dyDescent="0.3">
      <c r="B83" s="70"/>
      <c r="C83" s="3"/>
    </row>
    <row r="84" spans="2:21" x14ac:dyDescent="0.3">
      <c r="B84" s="70"/>
      <c r="C84" s="3" t="s">
        <v>475</v>
      </c>
      <c r="G84" s="101">
        <f>'Raw Data'!B204</f>
        <v>1876</v>
      </c>
      <c r="H84" s="101">
        <f>'Raw Data'!C204</f>
        <v>1449</v>
      </c>
      <c r="I84" s="101">
        <f>'Raw Data'!D204</f>
        <v>1214</v>
      </c>
      <c r="J84" s="18">
        <f>Schedules!J209*(1-Assumptions!$H$145)</f>
        <v>1822.6006876056902</v>
      </c>
      <c r="K84" s="18">
        <f>Schedules!K209*(1-Assumptions!$H$145)</f>
        <v>2153.402137981318</v>
      </c>
      <c r="L84" s="18">
        <f>Schedules!L209*(1-Assumptions!$H$145)</f>
        <v>2422.9673972487599</v>
      </c>
      <c r="M84" s="18">
        <f>Schedules!M209*(1-Assumptions!$H$145)</f>
        <v>2625.504824179005</v>
      </c>
      <c r="N84" s="18">
        <f>Schedules!N209*(1-Assumptions!$H$145)</f>
        <v>2789.5624148960924</v>
      </c>
      <c r="O84" s="18">
        <f>Schedules!O209*(1-Assumptions!$H$145)</f>
        <v>2798.0108962203049</v>
      </c>
      <c r="P84" s="18">
        <f>Schedules!P209*(1-Assumptions!$H$145)</f>
        <v>2962.6756919973463</v>
      </c>
      <c r="Q84" s="18">
        <f>Schedules!Q209*(1-Assumptions!$H$145)</f>
        <v>3136.1172419939862</v>
      </c>
      <c r="R84" s="18">
        <f>Schedules!R209*(1-Assumptions!$H$145)</f>
        <v>3423.5596593201208</v>
      </c>
      <c r="S84" s="18">
        <f>Schedules!S209*(1-Assumptions!$H$145)</f>
        <v>3874.859943495399</v>
      </c>
    </row>
    <row r="85" spans="2:21" x14ac:dyDescent="0.3">
      <c r="B85" s="70"/>
      <c r="C85" s="3" t="s">
        <v>476</v>
      </c>
      <c r="G85" s="101">
        <v>0</v>
      </c>
      <c r="H85" s="101">
        <v>0</v>
      </c>
      <c r="I85" s="101">
        <v>0</v>
      </c>
      <c r="J85" s="18">
        <f>Schedules!J263</f>
        <v>0</v>
      </c>
      <c r="K85" s="18">
        <f>Schedules!K263</f>
        <v>0</v>
      </c>
      <c r="L85" s="18">
        <f>Schedules!L263</f>
        <v>325.67626580792967</v>
      </c>
      <c r="M85" s="18">
        <f>Schedules!M263</f>
        <v>431.05665708894412</v>
      </c>
      <c r="N85" s="18">
        <f>Schedules!N263</f>
        <v>572.62579133329018</v>
      </c>
      <c r="O85" s="18">
        <f>Schedules!O263</f>
        <v>700.23274648081679</v>
      </c>
      <c r="P85" s="18">
        <f>Schedules!P263</f>
        <v>932.06051119850235</v>
      </c>
      <c r="Q85" s="18">
        <f>Schedules!Q263</f>
        <v>775.33099011774902</v>
      </c>
      <c r="R85" s="18">
        <f>Schedules!R263</f>
        <v>881.10172400450028</v>
      </c>
      <c r="S85" s="18">
        <f>Schedules!S263</f>
        <v>1095.1955541463831</v>
      </c>
    </row>
    <row r="86" spans="2:21" x14ac:dyDescent="0.3">
      <c r="B86" s="70"/>
      <c r="C86" s="3" t="s">
        <v>403</v>
      </c>
      <c r="G86" s="101">
        <f>'Raw Data'!B205+'Raw Data'!B206</f>
        <v>2984</v>
      </c>
      <c r="H86" s="101">
        <f>'Raw Data'!C205+'Raw Data'!C206</f>
        <v>1805</v>
      </c>
      <c r="I86" s="101">
        <f>'Raw Data'!D205+'Raw Data'!D206</f>
        <v>1428</v>
      </c>
      <c r="J86" s="18">
        <f>$I$86</f>
        <v>1428</v>
      </c>
      <c r="K86" s="18">
        <f t="shared" ref="K86:S86" si="22">$I$86</f>
        <v>1428</v>
      </c>
      <c r="L86" s="18">
        <f t="shared" si="22"/>
        <v>1428</v>
      </c>
      <c r="M86" s="18">
        <f t="shared" si="22"/>
        <v>1428</v>
      </c>
      <c r="N86" s="18">
        <f t="shared" si="22"/>
        <v>1428</v>
      </c>
      <c r="O86" s="18">
        <f t="shared" si="22"/>
        <v>1428</v>
      </c>
      <c r="P86" s="18">
        <f t="shared" si="22"/>
        <v>1428</v>
      </c>
      <c r="Q86" s="18">
        <f t="shared" si="22"/>
        <v>1428</v>
      </c>
      <c r="R86" s="18">
        <f t="shared" si="22"/>
        <v>1428</v>
      </c>
      <c r="S86" s="18">
        <f t="shared" si="22"/>
        <v>1428</v>
      </c>
    </row>
    <row r="87" spans="2:21" s="34" customFormat="1" x14ac:dyDescent="0.3">
      <c r="C87" s="70" t="s">
        <v>477</v>
      </c>
      <c r="G87" s="65">
        <f>SUM(G84:G86)</f>
        <v>4860</v>
      </c>
      <c r="H87" s="65">
        <f t="shared" ref="H87:S87" si="23">SUM(H84:H86)</f>
        <v>3254</v>
      </c>
      <c r="I87" s="65">
        <f t="shared" si="23"/>
        <v>2642</v>
      </c>
      <c r="J87" s="65">
        <f t="shared" si="23"/>
        <v>3250.6006876056899</v>
      </c>
      <c r="K87" s="65">
        <f t="shared" si="23"/>
        <v>3581.402137981318</v>
      </c>
      <c r="L87" s="65">
        <f t="shared" si="23"/>
        <v>4176.6436630566895</v>
      </c>
      <c r="M87" s="65">
        <f t="shared" si="23"/>
        <v>4484.5614812679487</v>
      </c>
      <c r="N87" s="65">
        <f t="shared" si="23"/>
        <v>4790.1882062293826</v>
      </c>
      <c r="O87" s="65">
        <f t="shared" si="23"/>
        <v>4926.2436427011216</v>
      </c>
      <c r="P87" s="65">
        <f t="shared" si="23"/>
        <v>5322.7362031958492</v>
      </c>
      <c r="Q87" s="65">
        <f t="shared" si="23"/>
        <v>5339.4482321117357</v>
      </c>
      <c r="R87" s="65">
        <f t="shared" si="23"/>
        <v>5732.6613833246211</v>
      </c>
      <c r="S87" s="65">
        <f t="shared" si="23"/>
        <v>6398.0554976417825</v>
      </c>
    </row>
    <row r="88" spans="2:21" x14ac:dyDescent="0.3">
      <c r="C88" s="70"/>
    </row>
    <row r="89" spans="2:21" s="34" customFormat="1" x14ac:dyDescent="0.3">
      <c r="C89" s="70" t="s">
        <v>478</v>
      </c>
      <c r="G89" s="65">
        <f>SUM(G87,G82)</f>
        <v>49729</v>
      </c>
      <c r="H89" s="65">
        <f t="shared" ref="H89:S89" si="24">SUM(H87,H82)</f>
        <v>53944</v>
      </c>
      <c r="I89" s="65">
        <f t="shared" si="24"/>
        <v>64506</v>
      </c>
      <c r="J89" s="65">
        <f t="shared" si="24"/>
        <v>61790.210368393557</v>
      </c>
      <c r="K89" s="65">
        <f t="shared" si="24"/>
        <v>70901.805950272596</v>
      </c>
      <c r="L89" s="65">
        <f t="shared" si="24"/>
        <v>84557.031220791658</v>
      </c>
      <c r="M89" s="65">
        <f t="shared" si="24"/>
        <v>98710.542171450157</v>
      </c>
      <c r="N89" s="65">
        <f t="shared" si="24"/>
        <v>114810.51165796866</v>
      </c>
      <c r="O89" s="65">
        <f t="shared" si="24"/>
        <v>130878.50791993765</v>
      </c>
      <c r="P89" s="65">
        <f t="shared" si="24"/>
        <v>151954.26227712582</v>
      </c>
      <c r="Q89" s="65">
        <f t="shared" si="24"/>
        <v>173303.73592906361</v>
      </c>
      <c r="R89" s="65">
        <f t="shared" si="24"/>
        <v>195301.82736651754</v>
      </c>
      <c r="S89" s="65">
        <f t="shared" si="24"/>
        <v>212985.69936081208</v>
      </c>
    </row>
    <row r="90" spans="2:21" x14ac:dyDescent="0.3">
      <c r="B90" s="34"/>
      <c r="C90" s="3"/>
      <c r="D90" s="34"/>
      <c r="E90" s="58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</row>
    <row r="91" spans="2:21" ht="14.5" thickBot="1" x14ac:dyDescent="0.35">
      <c r="B91" s="34"/>
      <c r="C91" s="70" t="s">
        <v>479</v>
      </c>
      <c r="D91" s="34"/>
      <c r="E91" s="58"/>
      <c r="F91" s="34"/>
      <c r="G91" s="72">
        <f>SUM('Raw Data'!B198:B200)</f>
        <v>129929</v>
      </c>
      <c r="H91" s="72">
        <f>SUM('Raw Data'!C198:C200)</f>
        <v>132984</v>
      </c>
      <c r="I91" s="72">
        <f>SUM('Raw Data'!D198:D200)</f>
        <v>149971</v>
      </c>
      <c r="J91" s="72">
        <f>Schedules!J344</f>
        <v>176750.24208338861</v>
      </c>
      <c r="K91" s="72">
        <f>Schedules!K344</f>
        <v>215357.90059021604</v>
      </c>
      <c r="L91" s="72">
        <f>Schedules!L344</f>
        <v>248423.67594250795</v>
      </c>
      <c r="M91" s="72">
        <f>Schedules!M344</f>
        <v>295671.45034376759</v>
      </c>
      <c r="N91" s="72">
        <f>Schedules!N344</f>
        <v>361256.18152188801</v>
      </c>
      <c r="O91" s="72">
        <f>Schedules!O344</f>
        <v>437350.34645175736</v>
      </c>
      <c r="P91" s="72">
        <f>Schedules!P344</f>
        <v>532888.08805602114</v>
      </c>
      <c r="Q91" s="72">
        <f>Schedules!Q344</f>
        <v>650591.69762228662</v>
      </c>
      <c r="R91" s="72">
        <f>Schedules!R344</f>
        <v>782646.46510125487</v>
      </c>
      <c r="S91" s="72">
        <f>Schedules!S344</f>
        <v>940106.59218987892</v>
      </c>
    </row>
    <row r="92" spans="2:21" ht="14.5" thickTop="1" x14ac:dyDescent="0.3">
      <c r="B92" s="34"/>
      <c r="C92" s="70"/>
      <c r="D92" s="34"/>
      <c r="E92" s="58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</row>
    <row r="93" spans="2:21" ht="14.5" x14ac:dyDescent="0.35">
      <c r="B93" s="34"/>
      <c r="C93" s="109" t="s">
        <v>483</v>
      </c>
      <c r="D93" s="34"/>
      <c r="E93" s="58"/>
      <c r="F93" s="34"/>
      <c r="G93" s="34">
        <f>SUM(G91,G89)-G72</f>
        <v>0</v>
      </c>
      <c r="H93" s="34">
        <f t="shared" ref="H93:S93" si="25">SUM(H91,H89)-H72</f>
        <v>0</v>
      </c>
      <c r="I93" s="34">
        <f t="shared" si="25"/>
        <v>0</v>
      </c>
      <c r="J93" s="34">
        <f t="shared" si="25"/>
        <v>0</v>
      </c>
      <c r="K93" s="34">
        <f t="shared" si="25"/>
        <v>0</v>
      </c>
      <c r="L93" s="34">
        <f t="shared" si="25"/>
        <v>0</v>
      </c>
      <c r="M93" s="34">
        <f t="shared" si="25"/>
        <v>0</v>
      </c>
      <c r="N93" s="34">
        <f t="shared" si="25"/>
        <v>0</v>
      </c>
      <c r="O93" s="34">
        <f t="shared" si="25"/>
        <v>0</v>
      </c>
      <c r="P93" s="34">
        <f t="shared" si="25"/>
        <v>0</v>
      </c>
      <c r="Q93" s="34">
        <f t="shared" si="25"/>
        <v>0</v>
      </c>
      <c r="R93" s="34">
        <f t="shared" si="25"/>
        <v>0</v>
      </c>
      <c r="S93" s="34">
        <f t="shared" si="25"/>
        <v>0</v>
      </c>
    </row>
    <row r="94" spans="2:21" x14ac:dyDescent="0.3">
      <c r="B94" s="34"/>
      <c r="D94" s="34"/>
      <c r="E94" s="93"/>
      <c r="F94" s="92"/>
      <c r="G94" s="92"/>
      <c r="H94" s="92"/>
      <c r="I94" s="92"/>
      <c r="J94" s="92"/>
      <c r="K94" s="92"/>
      <c r="L94" s="92"/>
      <c r="M94" s="92"/>
      <c r="N94" s="92"/>
      <c r="O94" s="92"/>
      <c r="P94" s="92"/>
      <c r="Q94" s="92"/>
      <c r="R94" s="92"/>
      <c r="S94" s="92"/>
    </row>
    <row r="95" spans="2:21" x14ac:dyDescent="0.3">
      <c r="B95" s="84"/>
      <c r="C95" s="112"/>
      <c r="D95" s="84"/>
      <c r="E95" s="55"/>
    </row>
    <row r="96" spans="2:21" x14ac:dyDescent="0.3">
      <c r="E96" s="55"/>
    </row>
    <row r="97" spans="2:19" ht="30" x14ac:dyDescent="0.6">
      <c r="B97" s="21" t="str">
        <f>Cover!$B$8</f>
        <v>ONE 97 COMMUNICATIONS LIMITED</v>
      </c>
      <c r="C97" s="45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</row>
    <row r="98" spans="2:19" ht="19" x14ac:dyDescent="0.4">
      <c r="B98" s="44" t="s">
        <v>609</v>
      </c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22"/>
      <c r="S98" s="22"/>
    </row>
    <row r="99" spans="2:19" x14ac:dyDescent="0.3">
      <c r="B99" s="70" t="str">
        <f>"Now running : "&amp;Assumptions!$H$8</f>
        <v>Now running : Base Case Scenario</v>
      </c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</row>
    <row r="100" spans="2:19" ht="15" thickBot="1" x14ac:dyDescent="0.4">
      <c r="B100" s="109" t="s">
        <v>129</v>
      </c>
      <c r="D100" s="3"/>
      <c r="E100" s="57"/>
      <c r="F100" s="47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3"/>
    </row>
    <row r="101" spans="2:19" x14ac:dyDescent="0.3">
      <c r="B101" s="48" t="s">
        <v>130</v>
      </c>
      <c r="C101" s="110"/>
      <c r="D101" s="48"/>
      <c r="E101" s="56"/>
      <c r="F101" s="3"/>
      <c r="G101" s="48">
        <v>1</v>
      </c>
      <c r="H101" s="48">
        <v>2</v>
      </c>
      <c r="I101" s="48">
        <v>3</v>
      </c>
      <c r="J101" s="48">
        <v>4</v>
      </c>
      <c r="K101" s="48">
        <v>5</v>
      </c>
      <c r="L101" s="48">
        <v>6</v>
      </c>
      <c r="M101" s="48">
        <v>7</v>
      </c>
      <c r="N101" s="48">
        <v>8</v>
      </c>
      <c r="O101" s="48">
        <v>9</v>
      </c>
      <c r="P101" s="48">
        <v>10</v>
      </c>
      <c r="Q101" s="48">
        <v>11</v>
      </c>
      <c r="R101" s="48">
        <v>12</v>
      </c>
      <c r="S101" s="48">
        <v>13</v>
      </c>
    </row>
    <row r="102" spans="2:19" x14ac:dyDescent="0.3">
      <c r="B102" s="3"/>
      <c r="D102" s="3"/>
      <c r="E102" s="56"/>
      <c r="F102" s="3"/>
      <c r="G102" s="49">
        <v>45016</v>
      </c>
      <c r="H102" s="49">
        <f t="shared" ref="H102:S102" si="26">EOMONTH(G102,12)</f>
        <v>45382</v>
      </c>
      <c r="I102" s="49">
        <f t="shared" si="26"/>
        <v>45747</v>
      </c>
      <c r="J102" s="49">
        <f t="shared" si="26"/>
        <v>46112</v>
      </c>
      <c r="K102" s="49">
        <f t="shared" si="26"/>
        <v>46477</v>
      </c>
      <c r="L102" s="49">
        <f t="shared" si="26"/>
        <v>46843</v>
      </c>
      <c r="M102" s="49">
        <f t="shared" si="26"/>
        <v>47208</v>
      </c>
      <c r="N102" s="49">
        <f t="shared" si="26"/>
        <v>47573</v>
      </c>
      <c r="O102" s="49">
        <f t="shared" si="26"/>
        <v>47938</v>
      </c>
      <c r="P102" s="49">
        <f t="shared" si="26"/>
        <v>48304</v>
      </c>
      <c r="Q102" s="49">
        <f t="shared" si="26"/>
        <v>48669</v>
      </c>
      <c r="R102" s="49">
        <f t="shared" si="26"/>
        <v>49034</v>
      </c>
      <c r="S102" s="49">
        <f t="shared" si="26"/>
        <v>49399</v>
      </c>
    </row>
    <row r="103" spans="2:19" ht="14.5" x14ac:dyDescent="0.35">
      <c r="B103" s="3"/>
      <c r="D103" s="3"/>
      <c r="E103" s="56"/>
      <c r="F103" s="3"/>
      <c r="G103" s="49"/>
      <c r="H103" s="49"/>
      <c r="I103" s="49"/>
      <c r="J103" s="51" t="s">
        <v>131</v>
      </c>
      <c r="K103" s="52"/>
      <c r="L103" s="52"/>
      <c r="M103" s="52"/>
      <c r="N103" s="52"/>
      <c r="O103" s="52"/>
      <c r="P103" s="52"/>
      <c r="Q103" s="194"/>
      <c r="R103" s="22"/>
      <c r="S103" s="22"/>
    </row>
    <row r="104" spans="2:19" ht="14.5" thickBot="1" x14ac:dyDescent="0.35">
      <c r="B104" s="3"/>
      <c r="D104" s="3"/>
      <c r="E104" s="57"/>
      <c r="F104" s="47"/>
      <c r="G104" s="74">
        <f t="shared" ref="G104:S104" si="27">YEAR(G102)</f>
        <v>2023</v>
      </c>
      <c r="H104" s="74">
        <f t="shared" si="27"/>
        <v>2024</v>
      </c>
      <c r="I104" s="74">
        <f t="shared" si="27"/>
        <v>2025</v>
      </c>
      <c r="J104" s="74">
        <f t="shared" si="27"/>
        <v>2026</v>
      </c>
      <c r="K104" s="74">
        <f t="shared" si="27"/>
        <v>2027</v>
      </c>
      <c r="L104" s="74">
        <f t="shared" si="27"/>
        <v>2028</v>
      </c>
      <c r="M104" s="74">
        <f t="shared" si="27"/>
        <v>2029</v>
      </c>
      <c r="N104" s="74">
        <f t="shared" si="27"/>
        <v>2030</v>
      </c>
      <c r="O104" s="74">
        <f t="shared" si="27"/>
        <v>2031</v>
      </c>
      <c r="P104" s="74">
        <f t="shared" si="27"/>
        <v>2032</v>
      </c>
      <c r="Q104" s="195">
        <f t="shared" si="27"/>
        <v>2033</v>
      </c>
      <c r="R104" s="195">
        <f t="shared" si="27"/>
        <v>2034</v>
      </c>
      <c r="S104" s="195">
        <f t="shared" si="27"/>
        <v>2035</v>
      </c>
    </row>
    <row r="105" spans="2:19" x14ac:dyDescent="0.3">
      <c r="B105" s="111"/>
      <c r="C105" s="110"/>
      <c r="D105" s="111"/>
    </row>
    <row r="106" spans="2:19" x14ac:dyDescent="0.3">
      <c r="B106" s="70" t="s">
        <v>411</v>
      </c>
    </row>
    <row r="107" spans="2:19" x14ac:dyDescent="0.3">
      <c r="B107" s="3"/>
      <c r="C107" s="102" t="s">
        <v>412</v>
      </c>
      <c r="G107" s="101">
        <f>'Raw Data'!B219</f>
        <v>-17429</v>
      </c>
      <c r="H107" s="101">
        <f>'Raw Data'!C219</f>
        <v>-13904</v>
      </c>
      <c r="I107" s="101">
        <f>'Raw Data'!D219</f>
        <v>-6452</v>
      </c>
      <c r="J107" s="18">
        <f t="shared" ref="J107:S107" si="28">SUM(J26)</f>
        <v>7700</v>
      </c>
      <c r="K107" s="18">
        <f t="shared" si="28"/>
        <v>17093.472282167604</v>
      </c>
      <c r="L107" s="18">
        <f t="shared" si="28"/>
        <v>25392.055648657231</v>
      </c>
      <c r="M107" s="18">
        <f t="shared" si="28"/>
        <v>34254.343379604645</v>
      </c>
      <c r="N107" s="18">
        <f t="shared" si="28"/>
        <v>45504.27458147562</v>
      </c>
      <c r="O107" s="18">
        <f t="shared" si="28"/>
        <v>55644.687419009613</v>
      </c>
      <c r="P107" s="18">
        <f t="shared" si="28"/>
        <v>74067.109917236332</v>
      </c>
      <c r="Q107" s="18">
        <f t="shared" si="28"/>
        <v>87216.809111701717</v>
      </c>
      <c r="R107" s="18">
        <f t="shared" si="28"/>
        <v>100821.56866881243</v>
      </c>
      <c r="S107" s="18">
        <f t="shared" si="28"/>
        <v>124072.94699218642</v>
      </c>
    </row>
    <row r="108" spans="2:19" x14ac:dyDescent="0.3">
      <c r="B108" s="3"/>
      <c r="C108" s="102" t="s">
        <v>368</v>
      </c>
      <c r="G108" s="101">
        <f>'Raw Data'!B220</f>
        <v>4853</v>
      </c>
      <c r="H108" s="101">
        <f>'Raw Data'!C220</f>
        <v>7357</v>
      </c>
      <c r="I108" s="101">
        <f>'Raw Data'!D220</f>
        <v>6726</v>
      </c>
      <c r="J108" s="18">
        <f t="shared" ref="J108:S108" si="29">J19</f>
        <v>5680</v>
      </c>
      <c r="K108" s="18">
        <f t="shared" si="29"/>
        <v>7216.5122365999241</v>
      </c>
      <c r="L108" s="18">
        <f t="shared" si="29"/>
        <v>8631.810735216035</v>
      </c>
      <c r="M108" s="18">
        <f t="shared" si="29"/>
        <v>11060.555710656177</v>
      </c>
      <c r="N108" s="18">
        <f t="shared" si="29"/>
        <v>13790.473058862592</v>
      </c>
      <c r="O108" s="18">
        <f t="shared" si="29"/>
        <v>16696.234241787981</v>
      </c>
      <c r="P108" s="18">
        <f t="shared" si="29"/>
        <v>19551.883972871292</v>
      </c>
      <c r="Q108" s="18">
        <f t="shared" si="29"/>
        <v>22579.770609551375</v>
      </c>
      <c r="R108" s="18">
        <f t="shared" si="29"/>
        <v>25761.068945065919</v>
      </c>
      <c r="S108" s="18">
        <f t="shared" si="29"/>
        <v>29091.647924635156</v>
      </c>
    </row>
    <row r="109" spans="2:19" x14ac:dyDescent="0.3">
      <c r="B109" s="3"/>
      <c r="C109" s="102" t="s">
        <v>413</v>
      </c>
      <c r="G109" s="101">
        <f>'Raw Data'!B223</f>
        <v>14558</v>
      </c>
      <c r="H109" s="101">
        <f>'Raw Data'!C223</f>
        <v>14658</v>
      </c>
      <c r="I109" s="101">
        <f>'Raw Data'!D223</f>
        <v>13078</v>
      </c>
      <c r="J109" s="18">
        <f>Schedules!J332</f>
        <v>12770.2</v>
      </c>
      <c r="K109" s="18">
        <f>Schedules!K332</f>
        <v>12462.400000000001</v>
      </c>
      <c r="L109" s="18">
        <f>Schedules!L332</f>
        <v>12154.600000000002</v>
      </c>
      <c r="M109" s="18">
        <f>Schedules!M332</f>
        <v>11846.800000000003</v>
      </c>
      <c r="N109" s="18">
        <f>Schedules!N332</f>
        <v>11539.000000000004</v>
      </c>
      <c r="O109" s="18">
        <f>Schedules!O332</f>
        <v>11231.200000000004</v>
      </c>
      <c r="P109" s="18">
        <f>Schedules!P332</f>
        <v>10923.400000000005</v>
      </c>
      <c r="Q109" s="18">
        <f>Schedules!Q332</f>
        <v>10615.600000000006</v>
      </c>
      <c r="R109" s="18">
        <f>Schedules!R332</f>
        <v>10307.800000000007</v>
      </c>
      <c r="S109" s="18">
        <f>Schedules!S332</f>
        <v>10000</v>
      </c>
    </row>
    <row r="110" spans="2:19" x14ac:dyDescent="0.3">
      <c r="B110" s="3"/>
      <c r="C110" s="102" t="s">
        <v>336</v>
      </c>
      <c r="G110" s="101">
        <f>'Raw Data'!B221</f>
        <v>-3798</v>
      </c>
      <c r="H110" s="101">
        <f>'Raw Data'!C221</f>
        <v>-5334</v>
      </c>
      <c r="I110" s="101">
        <f>'Raw Data'!D221</f>
        <v>-6801</v>
      </c>
      <c r="J110" s="18">
        <f>-Schedules!I236</f>
        <v>-7245</v>
      </c>
      <c r="K110" s="18">
        <f>-Schedules!J236</f>
        <v>-7922.5035074132029</v>
      </c>
      <c r="L110" s="18">
        <f>-Schedules!K236</f>
        <v>-9302.0385522396537</v>
      </c>
      <c r="M110" s="18">
        <f>-Schedules!L236</f>
        <v>-10794.558638744509</v>
      </c>
      <c r="N110" s="18">
        <f>-Schedules!M236</f>
        <v>-12621.296307241486</v>
      </c>
      <c r="O110" s="18">
        <f>-Schedules!N236</f>
        <v>-14914.650426006167</v>
      </c>
      <c r="P110" s="18">
        <f>-Schedules!O236</f>
        <v>-17756.235378344598</v>
      </c>
      <c r="Q110" s="18">
        <f>-Schedules!P236</f>
        <v>-21277.826307401996</v>
      </c>
      <c r="R110" s="18">
        <f>-Schedules!Q236</f>
        <v>-25604.365523196662</v>
      </c>
      <c r="S110" s="18">
        <f>-Schedules!R236</f>
        <v>-30803.949151607845</v>
      </c>
    </row>
    <row r="111" spans="2:19" x14ac:dyDescent="0.3">
      <c r="B111" s="3"/>
      <c r="C111" s="102" t="s">
        <v>434</v>
      </c>
      <c r="G111" s="101">
        <f>'Raw Data'!B222</f>
        <v>198</v>
      </c>
      <c r="H111" s="101">
        <f>'Raw Data'!C222</f>
        <v>178</v>
      </c>
      <c r="I111" s="101">
        <f>'Raw Data'!D222</f>
        <v>143</v>
      </c>
      <c r="J111" s="18">
        <f t="shared" ref="J111:S111" si="30">J22</f>
        <v>180</v>
      </c>
      <c r="K111" s="18">
        <f t="shared" si="30"/>
        <v>192.64099579799631</v>
      </c>
      <c r="L111" s="18">
        <f t="shared" si="30"/>
        <v>221.72931536490518</v>
      </c>
      <c r="M111" s="18">
        <f t="shared" si="30"/>
        <v>244.60312496150786</v>
      </c>
      <c r="N111" s="18">
        <f t="shared" si="30"/>
        <v>262.36499092389931</v>
      </c>
      <c r="O111" s="18">
        <f t="shared" si="30"/>
        <v>270.72306886221935</v>
      </c>
      <c r="P111" s="18">
        <f t="shared" si="30"/>
        <v>279.11056644447183</v>
      </c>
      <c r="Q111" s="18">
        <f t="shared" si="30"/>
        <v>295.49213003801566</v>
      </c>
      <c r="R111" s="18">
        <f t="shared" si="30"/>
        <v>317.8223823811544</v>
      </c>
      <c r="S111" s="18">
        <f t="shared" si="30"/>
        <v>353.61514609346978</v>
      </c>
    </row>
    <row r="112" spans="2:19" x14ac:dyDescent="0.3">
      <c r="B112" s="3"/>
      <c r="C112" s="102" t="s">
        <v>447</v>
      </c>
      <c r="G112" s="101">
        <f>'Raw Data'!B224</f>
        <v>0</v>
      </c>
      <c r="H112" s="101">
        <f>'Raw Data'!C224</f>
        <v>0</v>
      </c>
      <c r="I112" s="101">
        <f>'Raw Data'!D224</f>
        <v>-13484</v>
      </c>
      <c r="J112" s="18">
        <v>0</v>
      </c>
      <c r="K112" s="18">
        <v>0</v>
      </c>
      <c r="L112" s="18">
        <v>0</v>
      </c>
      <c r="M112" s="18">
        <v>0</v>
      </c>
      <c r="N112" s="18">
        <v>0</v>
      </c>
      <c r="O112" s="18">
        <v>0</v>
      </c>
      <c r="P112" s="18">
        <v>0</v>
      </c>
      <c r="Q112" s="18">
        <v>0</v>
      </c>
      <c r="R112" s="18">
        <v>0</v>
      </c>
      <c r="S112" s="18">
        <v>0</v>
      </c>
    </row>
    <row r="113" spans="2:19" x14ac:dyDescent="0.3">
      <c r="B113" s="3"/>
      <c r="C113" s="102" t="s">
        <v>414</v>
      </c>
      <c r="G113" s="101">
        <f>'Raw Data'!B225</f>
        <v>1047</v>
      </c>
      <c r="H113" s="101">
        <f>'Raw Data'!C225</f>
        <v>4787</v>
      </c>
      <c r="I113" s="101">
        <f>'Raw Data'!D225</f>
        <v>6726</v>
      </c>
      <c r="J113" s="18">
        <f>$I$113</f>
        <v>6726</v>
      </c>
      <c r="K113" s="18">
        <f t="shared" ref="K113:S113" si="31">$I$113</f>
        <v>6726</v>
      </c>
      <c r="L113" s="18">
        <f t="shared" si="31"/>
        <v>6726</v>
      </c>
      <c r="M113" s="18">
        <f t="shared" si="31"/>
        <v>6726</v>
      </c>
      <c r="N113" s="18">
        <f t="shared" si="31"/>
        <v>6726</v>
      </c>
      <c r="O113" s="18">
        <f t="shared" si="31"/>
        <v>6726</v>
      </c>
      <c r="P113" s="18">
        <f t="shared" si="31"/>
        <v>6726</v>
      </c>
      <c r="Q113" s="18">
        <f t="shared" si="31"/>
        <v>6726</v>
      </c>
      <c r="R113" s="18">
        <f t="shared" si="31"/>
        <v>6726</v>
      </c>
      <c r="S113" s="18">
        <f t="shared" si="31"/>
        <v>6726</v>
      </c>
    </row>
    <row r="114" spans="2:19" x14ac:dyDescent="0.3">
      <c r="B114" s="3"/>
    </row>
    <row r="115" spans="2:19" s="34" customFormat="1" x14ac:dyDescent="0.3">
      <c r="B115" s="70"/>
      <c r="C115" s="102" t="s">
        <v>415</v>
      </c>
      <c r="G115" s="34">
        <f>SUM(G107:G113)</f>
        <v>-571</v>
      </c>
      <c r="H115" s="34">
        <f t="shared" ref="H115:S115" si="32">SUM(H107:H113)</f>
        <v>7742</v>
      </c>
      <c r="I115" s="34">
        <f t="shared" si="32"/>
        <v>-64</v>
      </c>
      <c r="J115" s="34">
        <f t="shared" si="32"/>
        <v>25811.200000000001</v>
      </c>
      <c r="K115" s="34">
        <f t="shared" si="32"/>
        <v>35768.522007152322</v>
      </c>
      <c r="L115" s="34">
        <f t="shared" si="32"/>
        <v>43824.157146998521</v>
      </c>
      <c r="M115" s="34">
        <f t="shared" si="32"/>
        <v>53337.74357647782</v>
      </c>
      <c r="N115" s="34">
        <f t="shared" si="32"/>
        <v>65200.816324020634</v>
      </c>
      <c r="O115" s="34">
        <f t="shared" si="32"/>
        <v>75654.194303653654</v>
      </c>
      <c r="P115" s="34">
        <f t="shared" si="32"/>
        <v>93791.269078207508</v>
      </c>
      <c r="Q115" s="34">
        <f t="shared" si="32"/>
        <v>106155.84554388913</v>
      </c>
      <c r="R115" s="34">
        <f t="shared" si="32"/>
        <v>118329.89447306286</v>
      </c>
      <c r="S115" s="34">
        <f t="shared" si="32"/>
        <v>139440.26091130721</v>
      </c>
    </row>
    <row r="116" spans="2:19" x14ac:dyDescent="0.3">
      <c r="B116" s="3"/>
    </row>
    <row r="117" spans="2:19" x14ac:dyDescent="0.3">
      <c r="B117" s="3"/>
      <c r="C117" s="102" t="s">
        <v>416</v>
      </c>
      <c r="G117" s="101">
        <f>'Raw Data'!B227</f>
        <v>6489</v>
      </c>
      <c r="H117" s="101">
        <f>'Raw Data'!C227</f>
        <v>-149</v>
      </c>
      <c r="I117" s="101">
        <f>'Raw Data'!D227</f>
        <v>-1329</v>
      </c>
      <c r="J117" s="18">
        <f>-Schedules!J311</f>
        <v>-10164.304164705092</v>
      </c>
      <c r="K117" s="18">
        <f>-Schedules!K311</f>
        <v>-373.48546082989924</v>
      </c>
      <c r="L117" s="18">
        <f>-Schedules!L311</f>
        <v>2667.1264744079235</v>
      </c>
      <c r="M117" s="18">
        <f>-Schedules!M311</f>
        <v>3578.5651825171226</v>
      </c>
      <c r="N117" s="18">
        <f>-Schedules!N311</f>
        <v>4745.5080218095245</v>
      </c>
      <c r="O117" s="18">
        <f>-Schedules!O311</f>
        <v>7027.4604258443287</v>
      </c>
      <c r="P117" s="18">
        <f>-Schedules!P311</f>
        <v>7960.6545706219622</v>
      </c>
      <c r="Q117" s="18">
        <f>-Schedules!Q311</f>
        <v>12341.723742113041</v>
      </c>
      <c r="R117" s="18">
        <f>-Schedules!R311</f>
        <v>14527.608515314016</v>
      </c>
      <c r="S117" s="18">
        <f>-Schedules!S311</f>
        <v>10513.158954688304</v>
      </c>
    </row>
    <row r="118" spans="2:19" x14ac:dyDescent="0.3">
      <c r="B118" s="3"/>
      <c r="C118" s="102" t="s">
        <v>437</v>
      </c>
      <c r="G118" s="101">
        <f>'Raw Data'!B228</f>
        <v>-1762</v>
      </c>
      <c r="H118" s="101">
        <f>'Raw Data'!C228</f>
        <v>-1085</v>
      </c>
      <c r="I118" s="101">
        <f>'Raw Data'!D228</f>
        <v>180</v>
      </c>
      <c r="J118" s="18">
        <f>Schedules!J262</f>
        <v>532.15722560000006</v>
      </c>
      <c r="K118" s="18">
        <f>Schedules!K262</f>
        <v>1181.352569551794</v>
      </c>
      <c r="L118" s="18">
        <f>Schedules!L262</f>
        <v>6187.8490503506673</v>
      </c>
      <c r="M118" s="18">
        <f>Schedules!M262</f>
        <v>8190.0764846899528</v>
      </c>
      <c r="N118" s="18">
        <f>Schedules!N262</f>
        <v>10879.890035332495</v>
      </c>
      <c r="O118" s="18">
        <f>Schedules!O262</f>
        <v>13304.422183135524</v>
      </c>
      <c r="P118" s="18">
        <f>Schedules!P262</f>
        <v>17709.149712771537</v>
      </c>
      <c r="Q118" s="18">
        <f>Schedules!Q262</f>
        <v>14731.288812237204</v>
      </c>
      <c r="R118" s="18">
        <f>Schedules!R262</f>
        <v>16740.932756085549</v>
      </c>
      <c r="S118" s="18">
        <f>Schedules!S262</f>
        <v>20808.715528781267</v>
      </c>
    </row>
    <row r="119" spans="2:19" x14ac:dyDescent="0.3">
      <c r="B119" s="3"/>
    </row>
    <row r="120" spans="2:19" s="34" customFormat="1" x14ac:dyDescent="0.3">
      <c r="B120" s="70"/>
      <c r="C120" s="229" t="s">
        <v>417</v>
      </c>
      <c r="G120" s="65">
        <f>SUM(G115,G117:G118)</f>
        <v>4156</v>
      </c>
      <c r="H120" s="65">
        <f t="shared" ref="H120:S120" si="33">SUM(H115,H117:H118)</f>
        <v>6508</v>
      </c>
      <c r="I120" s="65">
        <f t="shared" si="33"/>
        <v>-1213</v>
      </c>
      <c r="J120" s="65">
        <f t="shared" si="33"/>
        <v>16179.053060894908</v>
      </c>
      <c r="K120" s="65">
        <f t="shared" si="33"/>
        <v>36576.389115874219</v>
      </c>
      <c r="L120" s="65">
        <f t="shared" si="33"/>
        <v>52679.132671757114</v>
      </c>
      <c r="M120" s="65">
        <f t="shared" si="33"/>
        <v>65106.385243684897</v>
      </c>
      <c r="N120" s="65">
        <f t="shared" si="33"/>
        <v>80826.214381162659</v>
      </c>
      <c r="O120" s="65">
        <f t="shared" si="33"/>
        <v>95986.076912633507</v>
      </c>
      <c r="P120" s="65">
        <f t="shared" si="33"/>
        <v>119461.07336160101</v>
      </c>
      <c r="Q120" s="65">
        <f t="shared" si="33"/>
        <v>133228.85809823938</v>
      </c>
      <c r="R120" s="65">
        <f t="shared" si="33"/>
        <v>149598.43574446245</v>
      </c>
      <c r="S120" s="65">
        <f t="shared" si="33"/>
        <v>170762.13539477679</v>
      </c>
    </row>
    <row r="121" spans="2:19" x14ac:dyDescent="0.3">
      <c r="B121" s="3"/>
    </row>
    <row r="122" spans="2:19" x14ac:dyDescent="0.3">
      <c r="B122" s="70" t="s">
        <v>418</v>
      </c>
    </row>
    <row r="123" spans="2:19" x14ac:dyDescent="0.3">
      <c r="B123" s="3"/>
      <c r="C123" s="102" t="s">
        <v>419</v>
      </c>
      <c r="G123" s="101">
        <f>'Raw Data'!B231</f>
        <v>-7052</v>
      </c>
      <c r="H123" s="101">
        <f>'Raw Data'!C231</f>
        <v>-8217</v>
      </c>
      <c r="I123" s="101">
        <f>'Raw Data'!D231</f>
        <v>-3219</v>
      </c>
      <c r="J123" s="18">
        <f>-(Schedules!J127+Schedules!J145)</f>
        <v>-5359.8265686185732</v>
      </c>
      <c r="K123" s="18">
        <f>-(Schedules!K127+Schedules!K145)</f>
        <v>-8168.3371400668038</v>
      </c>
      <c r="L123" s="18">
        <f>-(Schedules!L127+Schedules!L145)</f>
        <v>-10365.441930797151</v>
      </c>
      <c r="M123" s="18">
        <f>-(Schedules!M127+Schedules!M145)</f>
        <v>-13016.351870878891</v>
      </c>
      <c r="N123" s="18">
        <f>-(Schedules!N127+Schedules!N145)</f>
        <v>-16182.356004569743</v>
      </c>
      <c r="O123" s="18">
        <f>-(Schedules!O127+Schedules!O145)</f>
        <v>-18996.100354841405</v>
      </c>
      <c r="P123" s="18">
        <f>-(Schedules!P127+Schedules!P145)</f>
        <v>-21954.301535554187</v>
      </c>
      <c r="Q123" s="18">
        <f>-(Schedules!Q127+Schedules!Q145)</f>
        <v>-25251.055532448936</v>
      </c>
      <c r="R123" s="18">
        <f>-(Schedules!R127+Schedules!R145)</f>
        <v>-28589.378182870987</v>
      </c>
      <c r="S123" s="18">
        <f>-(Schedules!S127+Schedules!S145)</f>
        <v>-32197.731185114269</v>
      </c>
    </row>
    <row r="124" spans="2:19" x14ac:dyDescent="0.3">
      <c r="B124" s="3"/>
      <c r="C124" s="102" t="s">
        <v>420</v>
      </c>
      <c r="G124" s="101">
        <f>'Raw Data'!B232</f>
        <v>85</v>
      </c>
      <c r="H124" s="101">
        <f>'Raw Data'!C232</f>
        <v>96</v>
      </c>
      <c r="I124" s="101">
        <f>'Raw Data'!D232</f>
        <v>53</v>
      </c>
      <c r="J124" s="18">
        <f>-(Schedules!J128+Schedules!J146)</f>
        <v>0</v>
      </c>
      <c r="K124" s="18">
        <f>-(Schedules!K128+Schedules!K146)</f>
        <v>0</v>
      </c>
      <c r="L124" s="18">
        <f>-(Schedules!L128+Schedules!L146)</f>
        <v>0</v>
      </c>
      <c r="M124" s="18">
        <f>-(Schedules!M128+Schedules!M146)</f>
        <v>0</v>
      </c>
      <c r="N124" s="18">
        <f>-(Schedules!N128+Schedules!N146)</f>
        <v>0</v>
      </c>
      <c r="O124" s="18">
        <f>-(Schedules!O128+Schedules!O146)</f>
        <v>0</v>
      </c>
      <c r="P124" s="18">
        <f>-(Schedules!P128+Schedules!P146)</f>
        <v>0</v>
      </c>
      <c r="Q124" s="18">
        <f>-(Schedules!Q128+Schedules!Q146)</f>
        <v>0</v>
      </c>
      <c r="R124" s="18">
        <f>-(Schedules!R128+Schedules!R146)</f>
        <v>0</v>
      </c>
      <c r="S124" s="18">
        <f>-(Schedules!S128+Schedules!S146)</f>
        <v>0</v>
      </c>
    </row>
    <row r="125" spans="2:19" x14ac:dyDescent="0.3">
      <c r="B125" s="3"/>
      <c r="C125" s="102" t="s">
        <v>448</v>
      </c>
      <c r="G125" s="101">
        <f>'Raw Data'!B234</f>
        <v>0</v>
      </c>
      <c r="H125" s="101">
        <f>'Raw Data'!C234</f>
        <v>0</v>
      </c>
      <c r="I125" s="101">
        <f>'Raw Data'!D234</f>
        <v>20036</v>
      </c>
      <c r="J125" s="18">
        <v>0</v>
      </c>
      <c r="K125" s="18">
        <v>0</v>
      </c>
      <c r="L125" s="18">
        <v>0</v>
      </c>
      <c r="M125" s="18">
        <v>0</v>
      </c>
      <c r="N125" s="18">
        <v>0</v>
      </c>
      <c r="O125" s="18">
        <v>0</v>
      </c>
      <c r="P125" s="18">
        <v>0</v>
      </c>
      <c r="Q125" s="18">
        <v>0</v>
      </c>
      <c r="R125" s="18">
        <v>0</v>
      </c>
      <c r="S125" s="18">
        <v>0</v>
      </c>
    </row>
    <row r="126" spans="2:19" x14ac:dyDescent="0.3">
      <c r="B126" s="3"/>
      <c r="C126" s="102" t="s">
        <v>421</v>
      </c>
      <c r="G126" s="101">
        <f>'Raw Data'!B233</f>
        <v>30142</v>
      </c>
      <c r="H126" s="101">
        <f>'Raw Data'!C233</f>
        <v>6574</v>
      </c>
      <c r="I126" s="101">
        <f>'Raw Data'!D233</f>
        <v>-41617</v>
      </c>
      <c r="J126" s="18">
        <f>-(Schedules!J234-Schedules!I234)</f>
        <v>-15648.433615564689</v>
      </c>
      <c r="K126" s="18">
        <f>-(Schedules!K234-Schedules!J234)</f>
        <v>-15411.952655945279</v>
      </c>
      <c r="L126" s="18">
        <f>-(Schedules!L234-Schedules!K234)</f>
        <v>-18128.835165036027</v>
      </c>
      <c r="M126" s="18">
        <f>-(Schedules!M234-Schedules!L234)</f>
        <v>-22749.152305731186</v>
      </c>
      <c r="N126" s="18">
        <f>-(Schedules!N234-Schedules!M234)</f>
        <v>-28372.635132355441</v>
      </c>
      <c r="O126" s="18">
        <f>-(Schedules!O234-Schedules!N234)</f>
        <v>-34784.662395065592</v>
      </c>
      <c r="P126" s="18">
        <f>-(Schedules!P234-Schedules!O234)</f>
        <v>-43301.052675488405</v>
      </c>
      <c r="Q126" s="18">
        <f>-(Schedules!Q234-Schedules!P234)</f>
        <v>-52455.983731127548</v>
      </c>
      <c r="R126" s="18">
        <f>-(Schedules!R234-Schedules!Q234)</f>
        <v>-62467.312931205146</v>
      </c>
      <c r="S126" s="18">
        <f>-(Schedules!S234-Schedules!R234)</f>
        <v>-75257.115438576264</v>
      </c>
    </row>
    <row r="127" spans="2:19" x14ac:dyDescent="0.3">
      <c r="B127" s="3"/>
      <c r="C127" s="102" t="s">
        <v>422</v>
      </c>
      <c r="G127" s="101">
        <f>'Raw Data'!B235</f>
        <v>3080</v>
      </c>
      <c r="H127" s="101">
        <f>'Raw Data'!C235</f>
        <v>4727</v>
      </c>
      <c r="I127" s="101">
        <f>'Raw Data'!D235</f>
        <v>4318</v>
      </c>
      <c r="J127" s="18">
        <f>Schedules!I228</f>
        <v>5532</v>
      </c>
      <c r="K127" s="18">
        <f>Schedules!J228</f>
        <v>6244.8035074132031</v>
      </c>
      <c r="L127" s="18">
        <f>Schedules!K228</f>
        <v>7659.6385522396531</v>
      </c>
      <c r="M127" s="18">
        <f>Schedules!L228</f>
        <v>9187.4586387445088</v>
      </c>
      <c r="N127" s="18">
        <f>Schedules!M228</f>
        <v>11049.496307241487</v>
      </c>
      <c r="O127" s="18">
        <f>Schedules!N228</f>
        <v>13378.150426006167</v>
      </c>
      <c r="P127" s="18">
        <f>Schedules!O228</f>
        <v>16255.035378344599</v>
      </c>
      <c r="Q127" s="18">
        <f>Schedules!P228</f>
        <v>19811.926307401995</v>
      </c>
      <c r="R127" s="18">
        <f>Schedules!Q228</f>
        <v>24173.765523196664</v>
      </c>
      <c r="S127" s="18">
        <f>Schedules!R228</f>
        <v>29408.649151607846</v>
      </c>
    </row>
    <row r="128" spans="2:19" x14ac:dyDescent="0.3">
      <c r="B128" s="3"/>
    </row>
    <row r="129" spans="2:19" s="34" customFormat="1" x14ac:dyDescent="0.3">
      <c r="B129" s="70"/>
      <c r="C129" s="229" t="s">
        <v>423</v>
      </c>
      <c r="G129" s="65">
        <f>SUM(G123:G127)</f>
        <v>26255</v>
      </c>
      <c r="H129" s="65">
        <f t="shared" ref="H129:S129" si="34">SUM(H123:H127)</f>
        <v>3180</v>
      </c>
      <c r="I129" s="65">
        <f t="shared" si="34"/>
        <v>-20429</v>
      </c>
      <c r="J129" s="65">
        <f t="shared" si="34"/>
        <v>-15476.260184183262</v>
      </c>
      <c r="K129" s="65">
        <f t="shared" si="34"/>
        <v>-17335.48628859888</v>
      </c>
      <c r="L129" s="65">
        <f t="shared" si="34"/>
        <v>-20834.638543593526</v>
      </c>
      <c r="M129" s="65">
        <f t="shared" si="34"/>
        <v>-26578.045537865568</v>
      </c>
      <c r="N129" s="65">
        <f t="shared" si="34"/>
        <v>-33505.494829683696</v>
      </c>
      <c r="O129" s="65">
        <f t="shared" si="34"/>
        <v>-40402.61232390083</v>
      </c>
      <c r="P129" s="65">
        <f t="shared" si="34"/>
        <v>-49000.318832697994</v>
      </c>
      <c r="Q129" s="65">
        <f t="shared" si="34"/>
        <v>-57895.112956174489</v>
      </c>
      <c r="R129" s="65">
        <f t="shared" si="34"/>
        <v>-66882.925590879473</v>
      </c>
      <c r="S129" s="65">
        <f t="shared" si="34"/>
        <v>-78046.197472082684</v>
      </c>
    </row>
    <row r="130" spans="2:19" x14ac:dyDescent="0.3">
      <c r="B130" s="3"/>
    </row>
    <row r="131" spans="2:19" x14ac:dyDescent="0.3">
      <c r="B131" s="70" t="s">
        <v>424</v>
      </c>
    </row>
    <row r="132" spans="2:19" x14ac:dyDescent="0.3">
      <c r="B132" s="3"/>
      <c r="C132" s="102" t="s">
        <v>425</v>
      </c>
      <c r="G132" s="101">
        <f>'Raw Data'!B238</f>
        <v>7</v>
      </c>
      <c r="H132" s="101">
        <f>'Raw Data'!C238</f>
        <v>13</v>
      </c>
      <c r="I132" s="101">
        <f>'Raw Data'!D238</f>
        <v>16</v>
      </c>
      <c r="J132" s="18">
        <v>0</v>
      </c>
      <c r="K132" s="18">
        <v>0</v>
      </c>
      <c r="L132" s="18">
        <v>0</v>
      </c>
      <c r="M132" s="18">
        <v>0</v>
      </c>
      <c r="N132" s="18">
        <v>0</v>
      </c>
      <c r="O132" s="18">
        <v>0</v>
      </c>
      <c r="P132" s="18">
        <v>0</v>
      </c>
      <c r="Q132" s="18">
        <v>0</v>
      </c>
      <c r="R132" s="18">
        <v>0</v>
      </c>
      <c r="S132" s="18">
        <v>0</v>
      </c>
    </row>
    <row r="133" spans="2:19" x14ac:dyDescent="0.3">
      <c r="B133" s="3"/>
      <c r="C133" s="102" t="s">
        <v>449</v>
      </c>
      <c r="G133" s="101">
        <f>'Raw Data'!B239</f>
        <v>-10561</v>
      </c>
      <c r="H133" s="101">
        <f>'Raw Data'!C239</f>
        <v>0</v>
      </c>
      <c r="I133" s="101">
        <f>'Raw Data'!D239</f>
        <v>0</v>
      </c>
      <c r="J133" s="18">
        <v>0</v>
      </c>
      <c r="K133" s="18">
        <v>0</v>
      </c>
      <c r="L133" s="18">
        <v>0</v>
      </c>
      <c r="M133" s="18">
        <v>0</v>
      </c>
      <c r="N133" s="18">
        <v>0</v>
      </c>
      <c r="O133" s="18">
        <v>0</v>
      </c>
      <c r="P133" s="18">
        <v>0</v>
      </c>
      <c r="Q133" s="18">
        <v>0</v>
      </c>
      <c r="R133" s="18">
        <v>0</v>
      </c>
      <c r="S133" s="18">
        <v>0</v>
      </c>
    </row>
    <row r="134" spans="2:19" x14ac:dyDescent="0.3">
      <c r="B134" s="3"/>
      <c r="C134" s="102" t="s">
        <v>452</v>
      </c>
      <c r="G134" s="101">
        <f>'Raw Data'!B241</f>
        <v>-440</v>
      </c>
      <c r="H134" s="101">
        <f>'Raw Data'!C241</f>
        <v>-341</v>
      </c>
      <c r="I134" s="101">
        <f>'Raw Data'!D241</f>
        <v>-318</v>
      </c>
      <c r="J134" s="18">
        <f>-(SUM(Schedules!J198:J205)-Schedules!J211)</f>
        <v>-222.51095603606129</v>
      </c>
      <c r="K134" s="18">
        <f>-(SUM(Schedules!K198:K205)-Schedules!K211)</f>
        <v>-342.91877251549045</v>
      </c>
      <c r="L134" s="18">
        <f>-(SUM(Schedules!L198:L205)-Schedules!L211)</f>
        <v>-466.61963948474403</v>
      </c>
      <c r="M134" s="18">
        <f>-(SUM(Schedules!M198:M205)-Schedules!M211)</f>
        <v>-608.97707065219049</v>
      </c>
      <c r="N134" s="18">
        <f>-(SUM(Schedules!N198:N205)-Schedules!N211)</f>
        <v>-777.26068139796098</v>
      </c>
      <c r="O134" s="18">
        <f>-(SUM(Schedules!O198:O205)-Schedules!O211)</f>
        <v>-954.08636132128026</v>
      </c>
      <c r="P134" s="18">
        <f>-(SUM(Schedules!P198:P205)-Schedules!P211)</f>
        <v>-1044.2368509432531</v>
      </c>
      <c r="Q134" s="18">
        <f>-(SUM(Schedules!Q198:Q205)-Schedules!Q211)</f>
        <v>-933.12679825585928</v>
      </c>
      <c r="R134" s="18">
        <f>-(SUM(Schedules!R198:R205)-Schedules!R211)</f>
        <v>-765.80756122635478</v>
      </c>
      <c r="S134" s="18">
        <f>-(SUM(Schedules!S198:S205)-Schedules!S211)</f>
        <v>-573.11973308267432</v>
      </c>
    </row>
    <row r="135" spans="2:19" x14ac:dyDescent="0.3">
      <c r="B135" s="3"/>
      <c r="C135" s="102" t="s">
        <v>450</v>
      </c>
      <c r="G135" s="101">
        <f>'Raw Data'!B240</f>
        <v>-199</v>
      </c>
      <c r="H135" s="101">
        <f>'Raw Data'!C240</f>
        <v>-179</v>
      </c>
      <c r="I135" s="101">
        <f>'Raw Data'!D240</f>
        <v>-146</v>
      </c>
      <c r="J135" s="18">
        <f t="shared" ref="J135:S135" si="35">-J22</f>
        <v>-180</v>
      </c>
      <c r="K135" s="18">
        <f t="shared" si="35"/>
        <v>-192.64099579799631</v>
      </c>
      <c r="L135" s="18">
        <f t="shared" si="35"/>
        <v>-221.72931536490518</v>
      </c>
      <c r="M135" s="18">
        <f t="shared" si="35"/>
        <v>-244.60312496150786</v>
      </c>
      <c r="N135" s="18">
        <f t="shared" si="35"/>
        <v>-262.36499092389931</v>
      </c>
      <c r="O135" s="18">
        <f t="shared" si="35"/>
        <v>-270.72306886221935</v>
      </c>
      <c r="P135" s="18">
        <f t="shared" si="35"/>
        <v>-279.11056644447183</v>
      </c>
      <c r="Q135" s="18">
        <f t="shared" si="35"/>
        <v>-295.49213003801566</v>
      </c>
      <c r="R135" s="18">
        <f t="shared" si="35"/>
        <v>-317.8223823811544</v>
      </c>
      <c r="S135" s="18">
        <f t="shared" si="35"/>
        <v>-353.61514609346978</v>
      </c>
    </row>
    <row r="136" spans="2:19" x14ac:dyDescent="0.3">
      <c r="B136" s="3"/>
      <c r="C136" s="102" t="s">
        <v>426</v>
      </c>
      <c r="G136" s="101">
        <f>'Raw Data'!B242</f>
        <v>70</v>
      </c>
      <c r="H136" s="101">
        <f>'Raw Data'!C242</f>
        <v>286</v>
      </c>
      <c r="I136" s="101">
        <f>'Raw Data'!D242</f>
        <v>-79</v>
      </c>
      <c r="J136" s="18">
        <v>0</v>
      </c>
      <c r="K136" s="18">
        <v>0</v>
      </c>
      <c r="L136" s="18">
        <v>0</v>
      </c>
      <c r="M136" s="18">
        <v>0</v>
      </c>
      <c r="N136" s="18">
        <v>0</v>
      </c>
      <c r="O136" s="18">
        <v>0</v>
      </c>
      <c r="P136" s="18">
        <v>0</v>
      </c>
      <c r="Q136" s="18">
        <v>0</v>
      </c>
      <c r="R136" s="18">
        <v>0</v>
      </c>
      <c r="S136" s="18">
        <v>0</v>
      </c>
    </row>
    <row r="137" spans="2:19" x14ac:dyDescent="0.3">
      <c r="B137" s="3"/>
    </row>
    <row r="138" spans="2:19" s="34" customFormat="1" x14ac:dyDescent="0.3">
      <c r="B138" s="70"/>
      <c r="C138" s="229" t="s">
        <v>427</v>
      </c>
      <c r="G138" s="65">
        <f>SUM(G132:G136)</f>
        <v>-11123</v>
      </c>
      <c r="H138" s="65">
        <f t="shared" ref="H138:S138" si="36">SUM(H132:H136)</f>
        <v>-221</v>
      </c>
      <c r="I138" s="65">
        <f t="shared" si="36"/>
        <v>-527</v>
      </c>
      <c r="J138" s="65">
        <f t="shared" si="36"/>
        <v>-402.51095603606132</v>
      </c>
      <c r="K138" s="65">
        <f t="shared" si="36"/>
        <v>-535.55976831348676</v>
      </c>
      <c r="L138" s="65">
        <f t="shared" si="36"/>
        <v>-688.3489548496492</v>
      </c>
      <c r="M138" s="65">
        <f t="shared" si="36"/>
        <v>-853.58019561369838</v>
      </c>
      <c r="N138" s="65">
        <f t="shared" si="36"/>
        <v>-1039.6256723218603</v>
      </c>
      <c r="O138" s="65">
        <f t="shared" si="36"/>
        <v>-1224.8094301834997</v>
      </c>
      <c r="P138" s="65">
        <f t="shared" si="36"/>
        <v>-1323.3474173877248</v>
      </c>
      <c r="Q138" s="65">
        <f t="shared" si="36"/>
        <v>-1228.6189282938749</v>
      </c>
      <c r="R138" s="65">
        <f t="shared" si="36"/>
        <v>-1083.6299436075092</v>
      </c>
      <c r="S138" s="65">
        <f t="shared" si="36"/>
        <v>-926.73487917614409</v>
      </c>
    </row>
    <row r="139" spans="2:19" x14ac:dyDescent="0.3">
      <c r="B139" s="3"/>
      <c r="C139" s="102" t="s">
        <v>454</v>
      </c>
      <c r="G139" s="18">
        <f>'Raw Data'!B244</f>
        <v>23</v>
      </c>
      <c r="H139" s="18">
        <f>'Raw Data'!C244</f>
        <v>205</v>
      </c>
      <c r="I139" s="18">
        <f>'Raw Data'!D244</f>
        <v>118</v>
      </c>
      <c r="J139" s="18">
        <v>0</v>
      </c>
      <c r="K139" s="18">
        <v>0</v>
      </c>
      <c r="L139" s="18">
        <v>0</v>
      </c>
      <c r="M139" s="18">
        <v>0</v>
      </c>
      <c r="N139" s="18">
        <v>0</v>
      </c>
      <c r="O139" s="18">
        <v>0</v>
      </c>
      <c r="P139" s="18">
        <v>0</v>
      </c>
      <c r="Q139" s="18">
        <v>0</v>
      </c>
      <c r="R139" s="18">
        <v>0</v>
      </c>
      <c r="S139" s="18">
        <v>0</v>
      </c>
    </row>
    <row r="140" spans="2:19" x14ac:dyDescent="0.3">
      <c r="B140" s="3"/>
    </row>
    <row r="141" spans="2:19" x14ac:dyDescent="0.3">
      <c r="B141" s="66"/>
      <c r="C141" s="112" t="s">
        <v>428</v>
      </c>
      <c r="D141" s="84"/>
      <c r="E141" s="84"/>
      <c r="F141" s="84"/>
      <c r="G141" s="84">
        <f>G138+G129+G120</f>
        <v>19288</v>
      </c>
      <c r="H141" s="84">
        <f>H138+H129+H120</f>
        <v>9467</v>
      </c>
      <c r="I141" s="84">
        <f>I138+I129+I120</f>
        <v>-22169</v>
      </c>
      <c r="J141" s="84">
        <f t="shared" ref="J141:S141" si="37">J138+J129+J120</f>
        <v>300.28192067558484</v>
      </c>
      <c r="K141" s="84">
        <f t="shared" si="37"/>
        <v>18705.343058961851</v>
      </c>
      <c r="L141" s="84">
        <f t="shared" si="37"/>
        <v>31156.145173313937</v>
      </c>
      <c r="M141" s="84">
        <f t="shared" si="37"/>
        <v>37674.759510205629</v>
      </c>
      <c r="N141" s="84">
        <f t="shared" si="37"/>
        <v>46281.093879157102</v>
      </c>
      <c r="O141" s="84">
        <f t="shared" si="37"/>
        <v>54358.655158549176</v>
      </c>
      <c r="P141" s="84">
        <f t="shared" si="37"/>
        <v>69137.407111515291</v>
      </c>
      <c r="Q141" s="84">
        <f t="shared" si="37"/>
        <v>74105.126213771015</v>
      </c>
      <c r="R141" s="84">
        <f t="shared" si="37"/>
        <v>81631.880209975468</v>
      </c>
      <c r="S141" s="115">
        <f t="shared" si="37"/>
        <v>91789.203043517962</v>
      </c>
    </row>
    <row r="142" spans="2:19" x14ac:dyDescent="0.3">
      <c r="B142" s="79"/>
      <c r="C142" s="102" t="s">
        <v>429</v>
      </c>
      <c r="J142" s="18">
        <f>I143</f>
        <v>115572</v>
      </c>
      <c r="K142" s="18">
        <f t="shared" ref="K142:Q142" si="38">J143</f>
        <v>115872.28192067558</v>
      </c>
      <c r="L142" s="18">
        <f t="shared" si="38"/>
        <v>134577.62497963745</v>
      </c>
      <c r="M142" s="18">
        <f t="shared" si="38"/>
        <v>165733.77015295139</v>
      </c>
      <c r="N142" s="18">
        <f t="shared" si="38"/>
        <v>203408.52966315701</v>
      </c>
      <c r="O142" s="18">
        <f t="shared" si="38"/>
        <v>249689.6235423141</v>
      </c>
      <c r="P142" s="18">
        <f t="shared" si="38"/>
        <v>304048.2787008633</v>
      </c>
      <c r="Q142" s="18">
        <f t="shared" si="38"/>
        <v>373185.68581237859</v>
      </c>
      <c r="R142" s="18">
        <f>Q143</f>
        <v>447290.81202614959</v>
      </c>
      <c r="S142" s="116">
        <f>R143</f>
        <v>528922.692236125</v>
      </c>
    </row>
    <row r="143" spans="2:19" x14ac:dyDescent="0.3">
      <c r="B143" s="83"/>
      <c r="C143" s="117" t="s">
        <v>430</v>
      </c>
      <c r="D143" s="82"/>
      <c r="E143" s="82"/>
      <c r="F143" s="82"/>
      <c r="G143" s="82"/>
      <c r="H143" s="82"/>
      <c r="I143" s="82">
        <f>I54</f>
        <v>115572</v>
      </c>
      <c r="J143" s="82">
        <f>J141+J142</f>
        <v>115872.28192067558</v>
      </c>
      <c r="K143" s="82">
        <f t="shared" ref="K143:S143" si="39">K141+K142</f>
        <v>134577.62497963745</v>
      </c>
      <c r="L143" s="82">
        <f t="shared" si="39"/>
        <v>165733.77015295139</v>
      </c>
      <c r="M143" s="82">
        <f t="shared" si="39"/>
        <v>203408.52966315701</v>
      </c>
      <c r="N143" s="82">
        <f t="shared" si="39"/>
        <v>249689.6235423141</v>
      </c>
      <c r="O143" s="82">
        <f t="shared" si="39"/>
        <v>304048.2787008633</v>
      </c>
      <c r="P143" s="82">
        <f t="shared" si="39"/>
        <v>373185.68581237859</v>
      </c>
      <c r="Q143" s="82">
        <f t="shared" si="39"/>
        <v>447290.81202614959</v>
      </c>
      <c r="R143" s="82">
        <f t="shared" si="39"/>
        <v>528922.692236125</v>
      </c>
      <c r="S143" s="118">
        <f t="shared" si="39"/>
        <v>620711.89527964301</v>
      </c>
    </row>
    <row r="144" spans="2:19" x14ac:dyDescent="0.3">
      <c r="B144" s="98"/>
      <c r="C144" s="230"/>
      <c r="D144" s="98"/>
      <c r="E144" s="93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  <c r="R144" s="92"/>
      <c r="S144" s="92"/>
    </row>
  </sheetData>
  <pageMargins left="0.7" right="0.7" top="0.75" bottom="0.75" header="0.3" footer="0.3"/>
  <pageSetup orientation="portrait" r:id="rId1"/>
  <ignoredErrors>
    <ignoredError sqref="G54:I5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F1F4ED-0180-46F5-AE10-5DC4ACA324D4}">
  <sheetPr codeName="Sheet8"/>
  <dimension ref="B1:AD75"/>
  <sheetViews>
    <sheetView showGridLines="0" topLeftCell="A29" workbookViewId="0">
      <selection activeCell="I38" sqref="I38"/>
    </sheetView>
  </sheetViews>
  <sheetFormatPr defaultColWidth="8.90625" defaultRowHeight="14" x14ac:dyDescent="0.3"/>
  <cols>
    <col min="1" max="1" width="2.36328125" style="18" customWidth="1"/>
    <col min="2" max="2" width="19" style="18" bestFit="1" customWidth="1"/>
    <col min="3" max="5" width="8.90625" style="18"/>
    <col min="6" max="6" width="8.90625" style="18" customWidth="1"/>
    <col min="7" max="7" width="1" style="18" customWidth="1"/>
    <col min="8" max="8" width="11" style="18" customWidth="1"/>
    <col min="9" max="9" width="11.90625" style="18" customWidth="1"/>
    <col min="10" max="10" width="10.08984375" style="18" bestFit="1" customWidth="1"/>
    <col min="11" max="11" width="12.08984375" style="18" bestFit="1" customWidth="1"/>
    <col min="12" max="13" width="10.54296875" style="18" bestFit="1" customWidth="1"/>
    <col min="14" max="14" width="10.08984375" style="18" bestFit="1" customWidth="1"/>
    <col min="15" max="17" width="10.54296875" style="18" bestFit="1" customWidth="1"/>
    <col min="18" max="19" width="12.6328125" style="18" bestFit="1" customWidth="1"/>
    <col min="20" max="20" width="17.54296875" style="18" bestFit="1" customWidth="1"/>
    <col min="21" max="28" width="9.54296875" style="18" bestFit="1" customWidth="1"/>
    <col min="29" max="16384" width="8.90625" style="18"/>
  </cols>
  <sheetData>
    <row r="1" spans="2:30" ht="7.25" customHeight="1" x14ac:dyDescent="0.3"/>
    <row r="2" spans="2:30" ht="30" x14ac:dyDescent="0.6">
      <c r="B2" s="21" t="str">
        <f>Cover!B8</f>
        <v>ONE 97 COMMUNICATIONS LIMITED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pans="2:30" ht="19" x14ac:dyDescent="0.4">
      <c r="B3" s="44" t="s">
        <v>522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</row>
    <row r="4" spans="2:30" x14ac:dyDescent="0.3">
      <c r="B4" s="70" t="str">
        <f>"Now running : "&amp;Assumptions!$H$8</f>
        <v>Now running : Base Case Scenario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</row>
    <row r="5" spans="2:30" ht="15" thickBot="1" x14ac:dyDescent="0.4">
      <c r="B5" s="109" t="s">
        <v>129</v>
      </c>
      <c r="C5" s="102"/>
      <c r="D5" s="3"/>
      <c r="E5" s="57"/>
      <c r="F5" s="47"/>
      <c r="G5" s="47"/>
      <c r="H5" s="47"/>
      <c r="I5" s="47"/>
      <c r="J5" s="47"/>
      <c r="K5" s="47"/>
      <c r="L5" s="47"/>
      <c r="M5" s="47"/>
      <c r="N5" s="47"/>
      <c r="O5" s="3"/>
    </row>
    <row r="6" spans="2:30" x14ac:dyDescent="0.3">
      <c r="B6" s="48" t="s">
        <v>130</v>
      </c>
      <c r="C6" s="110"/>
      <c r="D6" s="48"/>
      <c r="E6" s="56"/>
      <c r="F6" s="3"/>
      <c r="G6" s="48"/>
      <c r="H6" s="48">
        <v>1</v>
      </c>
      <c r="I6" s="48">
        <v>2</v>
      </c>
      <c r="J6" s="48">
        <v>3</v>
      </c>
      <c r="K6" s="48">
        <v>4</v>
      </c>
      <c r="L6" s="48">
        <v>5</v>
      </c>
      <c r="M6" s="48">
        <v>6</v>
      </c>
      <c r="N6" s="48">
        <v>7</v>
      </c>
      <c r="O6" s="48">
        <v>8</v>
      </c>
      <c r="P6" s="48">
        <v>9</v>
      </c>
      <c r="Q6" s="48">
        <v>10</v>
      </c>
    </row>
    <row r="7" spans="2:30" x14ac:dyDescent="0.3">
      <c r="B7" s="3"/>
      <c r="C7" s="102"/>
      <c r="D7" s="3"/>
      <c r="E7" s="56"/>
      <c r="F7" s="3"/>
      <c r="G7" s="49"/>
      <c r="H7" s="49">
        <v>46112</v>
      </c>
      <c r="I7" s="49">
        <f t="shared" ref="I7:O7" si="0">EOMONTH(H7,12)</f>
        <v>46477</v>
      </c>
      <c r="J7" s="49">
        <f t="shared" si="0"/>
        <v>46843</v>
      </c>
      <c r="K7" s="49">
        <f t="shared" si="0"/>
        <v>47208</v>
      </c>
      <c r="L7" s="49">
        <f t="shared" si="0"/>
        <v>47573</v>
      </c>
      <c r="M7" s="49">
        <f t="shared" si="0"/>
        <v>47938</v>
      </c>
      <c r="N7" s="49">
        <f t="shared" si="0"/>
        <v>48304</v>
      </c>
      <c r="O7" s="49">
        <f t="shared" si="0"/>
        <v>48669</v>
      </c>
      <c r="P7" s="49">
        <f>EOMONTH(O7,12)</f>
        <v>49034</v>
      </c>
      <c r="Q7" s="49">
        <f>EOMONTH(P7,12)</f>
        <v>49399</v>
      </c>
    </row>
    <row r="8" spans="2:30" ht="14.5" x14ac:dyDescent="0.35">
      <c r="B8" s="3"/>
      <c r="C8" s="102"/>
      <c r="D8" s="3"/>
      <c r="E8" s="56"/>
      <c r="F8" s="3"/>
      <c r="G8" s="49"/>
      <c r="H8" s="193" t="s">
        <v>131</v>
      </c>
      <c r="I8" s="52"/>
      <c r="J8" s="52"/>
      <c r="K8" s="52"/>
      <c r="L8" s="52"/>
      <c r="M8" s="52"/>
      <c r="N8" s="52"/>
      <c r="O8" s="52"/>
      <c r="P8" s="198"/>
      <c r="Q8" s="198"/>
    </row>
    <row r="9" spans="2:30" ht="14.5" thickBot="1" x14ac:dyDescent="0.35">
      <c r="B9" s="47"/>
      <c r="C9" s="122"/>
      <c r="D9" s="47"/>
      <c r="E9" s="57"/>
      <c r="F9" s="47"/>
      <c r="G9" s="74"/>
      <c r="H9" s="74">
        <f t="shared" ref="H9:Q9" si="1">YEAR(H7)</f>
        <v>2026</v>
      </c>
      <c r="I9" s="74">
        <f t="shared" si="1"/>
        <v>2027</v>
      </c>
      <c r="J9" s="74">
        <f t="shared" si="1"/>
        <v>2028</v>
      </c>
      <c r="K9" s="74">
        <f t="shared" si="1"/>
        <v>2029</v>
      </c>
      <c r="L9" s="74">
        <f t="shared" si="1"/>
        <v>2030</v>
      </c>
      <c r="M9" s="74">
        <f t="shared" si="1"/>
        <v>2031</v>
      </c>
      <c r="N9" s="74">
        <f t="shared" si="1"/>
        <v>2032</v>
      </c>
      <c r="O9" s="74">
        <f t="shared" si="1"/>
        <v>2033</v>
      </c>
      <c r="P9" s="74">
        <f t="shared" si="1"/>
        <v>2034</v>
      </c>
      <c r="Q9" s="74">
        <f t="shared" si="1"/>
        <v>2035</v>
      </c>
    </row>
    <row r="11" spans="2:30" s="34" customFormat="1" x14ac:dyDescent="0.3">
      <c r="B11" s="70" t="s">
        <v>523</v>
      </c>
      <c r="C11" s="70"/>
      <c r="D11" s="70"/>
      <c r="E11" s="70"/>
      <c r="F11" s="123"/>
      <c r="G11" s="141"/>
      <c r="H11" s="141"/>
      <c r="I11" s="141">
        <f t="shared" ref="I11:Q11" si="2">AVERAGE(H7:I7)+1</f>
        <v>46295.5</v>
      </c>
      <c r="J11" s="141">
        <f t="shared" si="2"/>
        <v>46661</v>
      </c>
      <c r="K11" s="141">
        <f t="shared" si="2"/>
        <v>47026.5</v>
      </c>
      <c r="L11" s="141">
        <f t="shared" si="2"/>
        <v>47391.5</v>
      </c>
      <c r="M11" s="141">
        <f t="shared" si="2"/>
        <v>47756.5</v>
      </c>
      <c r="N11" s="141">
        <f t="shared" si="2"/>
        <v>48122</v>
      </c>
      <c r="O11" s="141">
        <f t="shared" si="2"/>
        <v>48487.5</v>
      </c>
      <c r="P11" s="141">
        <f t="shared" si="2"/>
        <v>48852.5</v>
      </c>
      <c r="Q11" s="141">
        <f t="shared" si="2"/>
        <v>49217.5</v>
      </c>
    </row>
    <row r="12" spans="2:30" x14ac:dyDescent="0.3">
      <c r="B12" s="3" t="s">
        <v>369</v>
      </c>
      <c r="C12" s="3"/>
      <c r="D12" s="3"/>
      <c r="E12" s="3"/>
      <c r="F12" s="3"/>
      <c r="I12" s="18">
        <f>'Financial Statements'!K20</f>
        <v>7984.0747257259454</v>
      </c>
      <c r="J12" s="18">
        <f>'Financial Statements'!L20</f>
        <v>14819.226325277627</v>
      </c>
      <c r="K12" s="18">
        <f>'Financial Statements'!M20</f>
        <v>21877.650197324663</v>
      </c>
      <c r="L12" s="18">
        <f>'Financial Statements'!N20</f>
        <v>30851.989146393353</v>
      </c>
      <c r="M12" s="18">
        <f>'Financial Statements'!O20</f>
        <v>38159.175109527234</v>
      </c>
      <c r="N12" s="18">
        <f>'Financial Statements'!P20</f>
        <v>53068.394176278802</v>
      </c>
      <c r="O12" s="18">
        <f>'Financial Statements'!Q20</f>
        <v>61907.935718543071</v>
      </c>
      <c r="P12" s="18">
        <f>'Financial Statements'!R20</f>
        <v>70335.441899585741</v>
      </c>
      <c r="Q12" s="18">
        <f>'Financial Statements'!S20</f>
        <v>87384.412519455072</v>
      </c>
    </row>
    <row r="13" spans="2:30" x14ac:dyDescent="0.3">
      <c r="B13" s="3" t="s">
        <v>682</v>
      </c>
      <c r="C13" s="3"/>
      <c r="D13" s="3"/>
      <c r="E13" s="3"/>
      <c r="F13" s="3"/>
      <c r="I13" s="18">
        <f>-Schedules!K262</f>
        <v>-1181.352569551794</v>
      </c>
      <c r="J13" s="18">
        <f>-Schedules!L262</f>
        <v>-6187.8490503506673</v>
      </c>
      <c r="K13" s="18">
        <f>-Schedules!M262</f>
        <v>-8190.0764846899528</v>
      </c>
      <c r="L13" s="18">
        <f>-Schedules!N262</f>
        <v>-10879.890035332495</v>
      </c>
      <c r="M13" s="18">
        <f>-Schedules!O262</f>
        <v>-13304.422183135524</v>
      </c>
      <c r="N13" s="18">
        <f>-Schedules!P262</f>
        <v>-17709.149712771537</v>
      </c>
      <c r="O13" s="18">
        <f>-Schedules!Q262</f>
        <v>-14731.288812237204</v>
      </c>
      <c r="P13" s="18">
        <f>-Schedules!R262</f>
        <v>-16740.932756085549</v>
      </c>
      <c r="Q13" s="18">
        <f>-Schedules!S262</f>
        <v>-20808.715528781267</v>
      </c>
      <c r="R13" s="3"/>
      <c r="S13" s="3"/>
      <c r="T13" s="3"/>
      <c r="U13" s="3"/>
      <c r="V13" s="3"/>
    </row>
    <row r="14" spans="2:30" x14ac:dyDescent="0.3">
      <c r="B14" s="70" t="s">
        <v>524</v>
      </c>
      <c r="C14" s="70"/>
      <c r="D14" s="70"/>
      <c r="E14" s="70"/>
      <c r="F14" s="70"/>
      <c r="G14" s="34"/>
      <c r="H14" s="34"/>
      <c r="I14" s="34">
        <f>I12+Y13+I13</f>
        <v>6802.7221561741517</v>
      </c>
      <c r="J14" s="34">
        <f t="shared" ref="J14:O14" si="3">J12+Z13+J13</f>
        <v>8631.3772749269592</v>
      </c>
      <c r="K14" s="34">
        <f t="shared" si="3"/>
        <v>13687.57371263471</v>
      </c>
      <c r="L14" s="34">
        <f t="shared" si="3"/>
        <v>19972.099111060859</v>
      </c>
      <c r="M14" s="34">
        <f t="shared" si="3"/>
        <v>24854.752926391709</v>
      </c>
      <c r="N14" s="34">
        <f t="shared" si="3"/>
        <v>35359.244463507261</v>
      </c>
      <c r="O14" s="34">
        <f t="shared" si="3"/>
        <v>47176.646906305868</v>
      </c>
      <c r="P14" s="34">
        <f>P12+AF13+P13</f>
        <v>53594.509143500196</v>
      </c>
      <c r="Q14" s="34">
        <f>Q12+AG13+Q13</f>
        <v>66575.696990673809</v>
      </c>
      <c r="S14" s="35"/>
      <c r="T14" s="35"/>
      <c r="U14" s="35"/>
      <c r="V14" s="35"/>
      <c r="W14" s="35"/>
      <c r="X14" s="35"/>
      <c r="Y14" s="35"/>
      <c r="Z14" s="35"/>
      <c r="AA14" s="35"/>
    </row>
    <row r="15" spans="2:30" s="34" customFormat="1" x14ac:dyDescent="0.3">
      <c r="B15" s="3" t="s">
        <v>368</v>
      </c>
      <c r="C15" s="3"/>
      <c r="D15" s="3"/>
      <c r="E15" s="3"/>
      <c r="F15" s="3"/>
      <c r="G15" s="18"/>
      <c r="H15" s="18"/>
      <c r="I15" s="18">
        <f>'Financial Statements'!K19</f>
        <v>7216.5122365999241</v>
      </c>
      <c r="J15" s="18">
        <f>'Financial Statements'!L19</f>
        <v>8631.810735216035</v>
      </c>
      <c r="K15" s="18">
        <f>'Financial Statements'!M19</f>
        <v>11060.555710656177</v>
      </c>
      <c r="L15" s="18">
        <f>'Financial Statements'!N19</f>
        <v>13790.473058862592</v>
      </c>
      <c r="M15" s="18">
        <f>'Financial Statements'!O19</f>
        <v>16696.234241787981</v>
      </c>
      <c r="N15" s="18">
        <f>'Financial Statements'!P19</f>
        <v>19551.883972871292</v>
      </c>
      <c r="O15" s="18">
        <f>'Financial Statements'!Q19</f>
        <v>22579.770609551375</v>
      </c>
      <c r="P15" s="18">
        <f>'Financial Statements'!R19</f>
        <v>25761.068945065919</v>
      </c>
      <c r="Q15" s="18">
        <f>'Financial Statements'!S19</f>
        <v>29091.647924635156</v>
      </c>
      <c r="AC15" s="54"/>
      <c r="AD15" s="54"/>
    </row>
    <row r="16" spans="2:30" x14ac:dyDescent="0.3">
      <c r="B16" s="3" t="s">
        <v>680</v>
      </c>
      <c r="C16" s="3"/>
      <c r="D16" s="3"/>
      <c r="E16" s="3"/>
      <c r="F16" s="3"/>
      <c r="I16" s="18">
        <f>Schedules!K311</f>
        <v>373.48546082989924</v>
      </c>
      <c r="J16" s="18">
        <f>Schedules!L311</f>
        <v>-2667.1264744079235</v>
      </c>
      <c r="K16" s="18">
        <f>Schedules!M311</f>
        <v>-3578.5651825171226</v>
      </c>
      <c r="L16" s="18">
        <f>Schedules!N311</f>
        <v>-4745.5080218095245</v>
      </c>
      <c r="M16" s="18">
        <f>Schedules!O311</f>
        <v>-7027.4604258443287</v>
      </c>
      <c r="N16" s="18">
        <f>Schedules!P311</f>
        <v>-7960.6545706219622</v>
      </c>
      <c r="O16" s="18">
        <f>Schedules!Q311</f>
        <v>-12341.723742113041</v>
      </c>
      <c r="P16" s="18">
        <f>Schedules!R311</f>
        <v>-14527.608515314016</v>
      </c>
      <c r="Q16" s="18">
        <f>Schedules!S311</f>
        <v>-10513.158954688304</v>
      </c>
      <c r="T16" s="31"/>
      <c r="U16" s="31"/>
      <c r="V16" s="31"/>
      <c r="W16" s="31"/>
      <c r="X16" s="31"/>
      <c r="Y16" s="31"/>
      <c r="Z16" s="31"/>
      <c r="AA16" s="31"/>
      <c r="AB16" s="31"/>
      <c r="AC16" s="196"/>
    </row>
    <row r="17" spans="2:27" x14ac:dyDescent="0.3">
      <c r="B17" s="3" t="s">
        <v>681</v>
      </c>
      <c r="C17" s="3"/>
      <c r="D17" s="3"/>
      <c r="E17" s="3"/>
      <c r="F17" s="3"/>
      <c r="I17" s="18">
        <f>-'Financial Statements'!K123</f>
        <v>8168.3371400668038</v>
      </c>
      <c r="J17" s="18">
        <f>-'Financial Statements'!L123</f>
        <v>10365.441930797151</v>
      </c>
      <c r="K17" s="18">
        <f>-'Financial Statements'!M123</f>
        <v>13016.351870878891</v>
      </c>
      <c r="L17" s="18">
        <f>-'Financial Statements'!N123</f>
        <v>16182.356004569743</v>
      </c>
      <c r="M17" s="18">
        <f>-'Financial Statements'!O123</f>
        <v>18996.100354841405</v>
      </c>
      <c r="N17" s="18">
        <f>-'Financial Statements'!P123</f>
        <v>21954.301535554187</v>
      </c>
      <c r="O17" s="18">
        <f>-'Financial Statements'!Q123</f>
        <v>25251.055532448936</v>
      </c>
      <c r="P17" s="18">
        <f>-'Financial Statements'!R123</f>
        <v>28589.378182870987</v>
      </c>
      <c r="Q17" s="18">
        <f>-'Financial Statements'!S123</f>
        <v>32197.731185114269</v>
      </c>
    </row>
    <row r="18" spans="2:27" x14ac:dyDescent="0.3">
      <c r="B18" s="70" t="s">
        <v>525</v>
      </c>
      <c r="C18" s="70"/>
      <c r="D18" s="70"/>
      <c r="E18" s="3"/>
      <c r="F18" s="3"/>
      <c r="G18" s="34"/>
      <c r="H18" s="34"/>
      <c r="I18" s="65">
        <f>I14+I15-I16-I17</f>
        <v>5477.4117918773736</v>
      </c>
      <c r="J18" s="65">
        <f t="shared" ref="J18:Q18" si="4">J14+J15-J16-J17</f>
        <v>9564.8725537537648</v>
      </c>
      <c r="K18" s="65">
        <f t="shared" si="4"/>
        <v>15310.34273492912</v>
      </c>
      <c r="L18" s="65">
        <f t="shared" si="4"/>
        <v>22325.724187163229</v>
      </c>
      <c r="M18" s="65">
        <f t="shared" si="4"/>
        <v>29582.347239182618</v>
      </c>
      <c r="N18" s="65">
        <f t="shared" si="4"/>
        <v>40917.481471446328</v>
      </c>
      <c r="O18" s="65">
        <f t="shared" si="4"/>
        <v>56847.085725521349</v>
      </c>
      <c r="P18" s="65">
        <f t="shared" si="4"/>
        <v>65293.808421009133</v>
      </c>
      <c r="Q18" s="65">
        <f t="shared" si="4"/>
        <v>73982.772684882992</v>
      </c>
    </row>
    <row r="19" spans="2:27" x14ac:dyDescent="0.3">
      <c r="B19" s="3" t="s">
        <v>526</v>
      </c>
      <c r="C19" s="3"/>
      <c r="D19" s="3"/>
      <c r="E19" s="3"/>
      <c r="F19" s="3"/>
      <c r="G19" s="124"/>
      <c r="H19" s="31"/>
      <c r="I19" s="31">
        <f>I54</f>
        <v>0.13031199516690542</v>
      </c>
      <c r="J19" s="31">
        <f t="shared" ref="J19:Q19" si="5">J54</f>
        <v>0.12966674577104226</v>
      </c>
      <c r="K19" s="31">
        <f t="shared" si="5"/>
        <v>0.12902149637517907</v>
      </c>
      <c r="L19" s="31">
        <f t="shared" si="5"/>
        <v>0.12837624697931591</v>
      </c>
      <c r="M19" s="31">
        <f t="shared" si="5"/>
        <v>0.12773099758345272</v>
      </c>
      <c r="N19" s="31">
        <f t="shared" si="5"/>
        <v>0.12708574818758955</v>
      </c>
      <c r="O19" s="31">
        <f t="shared" si="5"/>
        <v>0.12644049879172636</v>
      </c>
      <c r="P19" s="31">
        <f t="shared" si="5"/>
        <v>0.1257952493958632</v>
      </c>
      <c r="Q19" s="31">
        <f t="shared" si="5"/>
        <v>0.12514999999999998</v>
      </c>
      <c r="S19" s="27"/>
      <c r="T19" s="27"/>
      <c r="U19" s="27"/>
      <c r="V19" s="27"/>
      <c r="W19" s="27"/>
      <c r="X19" s="27"/>
      <c r="Y19" s="27"/>
      <c r="Z19" s="27"/>
      <c r="AA19" s="27"/>
    </row>
    <row r="20" spans="2:27" x14ac:dyDescent="0.3">
      <c r="B20" s="3" t="s">
        <v>527</v>
      </c>
      <c r="C20" s="3"/>
      <c r="D20" s="3"/>
      <c r="E20" s="3"/>
      <c r="F20" s="3"/>
      <c r="G20" s="27"/>
      <c r="H20" s="27"/>
      <c r="I20" s="27">
        <f>1/(1+I$19)^I42</f>
        <v>0.94059102785204274</v>
      </c>
      <c r="J20" s="27">
        <f t="shared" ref="J20:Q20" si="6">1/(1+J$19)^J42</f>
        <v>0.83258273135143146</v>
      </c>
      <c r="K20" s="27">
        <f t="shared" si="6"/>
        <v>0.7383197276210125</v>
      </c>
      <c r="L20" s="27">
        <f t="shared" si="6"/>
        <v>0.65525633149286555</v>
      </c>
      <c r="M20" s="27">
        <f t="shared" si="6"/>
        <v>0.58220397920425393</v>
      </c>
      <c r="N20" s="27">
        <f t="shared" si="6"/>
        <v>0.51771697485047219</v>
      </c>
      <c r="O20" s="27">
        <f t="shared" si="6"/>
        <v>0.46120747189636441</v>
      </c>
      <c r="P20" s="27">
        <f t="shared" si="6"/>
        <v>0.41120123678389164</v>
      </c>
      <c r="Q20" s="27">
        <f t="shared" si="6"/>
        <v>0.36703830581237479</v>
      </c>
    </row>
    <row r="21" spans="2:27" x14ac:dyDescent="0.3">
      <c r="B21" s="3" t="s">
        <v>528</v>
      </c>
      <c r="C21" s="3"/>
      <c r="D21" s="3"/>
      <c r="E21" s="3"/>
      <c r="F21" s="3"/>
      <c r="G21" s="27"/>
      <c r="H21" s="27"/>
      <c r="I21" s="27">
        <f t="shared" ref="I21:Q21" si="7">1/(1+I$19)^I43</f>
        <v>0.8847114816757623</v>
      </c>
      <c r="J21" s="27">
        <f t="shared" si="7"/>
        <v>0.78360881159164997</v>
      </c>
      <c r="K21" s="27">
        <f t="shared" si="7"/>
        <v>0.69485368863420371</v>
      </c>
      <c r="L21" s="27">
        <f t="shared" si="7"/>
        <v>0.61685666046117071</v>
      </c>
      <c r="M21" s="27">
        <f t="shared" si="7"/>
        <v>0.54824213546726552</v>
      </c>
      <c r="N21" s="27">
        <f t="shared" si="7"/>
        <v>0.48781848218015711</v>
      </c>
      <c r="O21" s="27">
        <f t="shared" si="7"/>
        <v>0.4345524536459473</v>
      </c>
      <c r="P21" s="27">
        <f t="shared" si="7"/>
        <v>0.38754729181457886</v>
      </c>
      <c r="Q21" s="27">
        <f t="shared" si="7"/>
        <v>0.34602396583137157</v>
      </c>
    </row>
    <row r="22" spans="2:27" x14ac:dyDescent="0.3">
      <c r="B22" s="70" t="s">
        <v>529</v>
      </c>
      <c r="C22" s="70"/>
      <c r="D22" s="70"/>
      <c r="E22" s="70"/>
      <c r="F22" s="70"/>
      <c r="G22" s="125"/>
      <c r="H22" s="125"/>
      <c r="I22" s="253">
        <f>I20*I18</f>
        <v>5152.0043872908382</v>
      </c>
      <c r="J22" s="253">
        <f t="shared" ref="J22:P22" si="8">J20*J18</f>
        <v>7963.5477158326512</v>
      </c>
      <c r="K22" s="253">
        <f t="shared" si="8"/>
        <v>11303.928077837216</v>
      </c>
      <c r="L22" s="253">
        <f t="shared" si="8"/>
        <v>14629.072128802114</v>
      </c>
      <c r="M22" s="253">
        <f t="shared" si="8"/>
        <v>17222.960276854097</v>
      </c>
      <c r="N22" s="253">
        <f t="shared" si="8"/>
        <v>21183.674725897439</v>
      </c>
      <c r="O22" s="253">
        <f t="shared" si="8"/>
        <v>26218.300692143606</v>
      </c>
      <c r="P22" s="253">
        <f t="shared" si="8"/>
        <v>26848.894777049434</v>
      </c>
      <c r="Q22" s="253">
        <f>Q20*Q18</f>
        <v>27154.51154556149</v>
      </c>
    </row>
    <row r="23" spans="2:27" x14ac:dyDescent="0.3">
      <c r="B23" s="3" t="s">
        <v>530</v>
      </c>
      <c r="C23" s="3"/>
      <c r="D23" s="3"/>
      <c r="E23" s="3"/>
      <c r="I23" s="135" t="s">
        <v>531</v>
      </c>
    </row>
    <row r="24" spans="2:27" ht="15" customHeight="1" thickBot="1" x14ac:dyDescent="0.35">
      <c r="B24" s="3" t="s">
        <v>532</v>
      </c>
      <c r="C24" s="3"/>
      <c r="D24" s="3"/>
      <c r="E24" s="3"/>
      <c r="F24" s="3"/>
      <c r="G24" s="126"/>
      <c r="I24" s="18">
        <f>SUM(I22:Q22)</f>
        <v>157676.89432726888</v>
      </c>
      <c r="L24" s="354" t="s">
        <v>533</v>
      </c>
      <c r="M24" s="354"/>
      <c r="N24" s="354"/>
      <c r="O24" s="354"/>
      <c r="P24" s="354"/>
      <c r="Q24" s="354"/>
    </row>
    <row r="25" spans="2:27" ht="14.4" customHeight="1" x14ac:dyDescent="0.3">
      <c r="B25" s="3" t="s">
        <v>534</v>
      </c>
      <c r="C25" s="3"/>
      <c r="D25" s="3"/>
      <c r="E25" s="3"/>
      <c r="F25" s="3"/>
      <c r="G25" s="126"/>
      <c r="I25" s="160">
        <f>I40</f>
        <v>241756.30818343678</v>
      </c>
      <c r="J25" s="35"/>
      <c r="L25" s="355" t="s">
        <v>535</v>
      </c>
      <c r="M25" s="355"/>
      <c r="N25" s="355"/>
      <c r="O25" s="355"/>
      <c r="P25" s="355"/>
      <c r="Q25" s="355"/>
    </row>
    <row r="26" spans="2:27" ht="15" customHeight="1" x14ac:dyDescent="0.3">
      <c r="B26" s="70" t="s">
        <v>536</v>
      </c>
      <c r="C26" s="70"/>
      <c r="D26" s="70"/>
      <c r="E26" s="3"/>
      <c r="F26" s="3"/>
      <c r="G26" s="34"/>
      <c r="I26" s="34">
        <f>I24+I25</f>
        <v>399433.20251070568</v>
      </c>
      <c r="K26" s="356" t="s">
        <v>537</v>
      </c>
      <c r="L26" s="127">
        <f>I34</f>
        <v>893.48531272155356</v>
      </c>
      <c r="M26" s="184">
        <v>0.09</v>
      </c>
      <c r="N26" s="184">
        <v>9.5000000000000001E-2</v>
      </c>
      <c r="O26" s="184">
        <v>0.1037</v>
      </c>
      <c r="P26" s="184">
        <v>0.11</v>
      </c>
      <c r="Q26" s="184">
        <v>0.115</v>
      </c>
    </row>
    <row r="27" spans="2:27" x14ac:dyDescent="0.3">
      <c r="B27" s="3" t="s">
        <v>538</v>
      </c>
      <c r="C27" s="3"/>
      <c r="D27" s="3"/>
      <c r="E27" s="3"/>
      <c r="F27" s="3"/>
      <c r="I27" s="18">
        <f>Assumptions!H150</f>
        <v>44170</v>
      </c>
      <c r="K27" s="356"/>
      <c r="L27" s="184">
        <v>0.05</v>
      </c>
      <c r="M27" s="254"/>
      <c r="N27" s="254"/>
      <c r="O27" s="254"/>
      <c r="P27" s="254"/>
      <c r="Q27" s="254"/>
      <c r="R27" s="35"/>
      <c r="S27" s="35"/>
    </row>
    <row r="28" spans="2:27" x14ac:dyDescent="0.3">
      <c r="B28" s="70" t="s">
        <v>539</v>
      </c>
      <c r="C28" s="70"/>
      <c r="D28" s="70"/>
      <c r="E28" s="3"/>
      <c r="F28" s="3"/>
      <c r="G28" s="34"/>
      <c r="I28" s="34">
        <f>I26+I27</f>
        <v>443603.20251070568</v>
      </c>
      <c r="K28" s="356"/>
      <c r="L28" s="184">
        <v>5.5E-2</v>
      </c>
      <c r="M28" s="254"/>
      <c r="N28" s="254"/>
      <c r="O28" s="254"/>
      <c r="P28" s="254"/>
      <c r="Q28" s="254"/>
    </row>
    <row r="29" spans="2:27" x14ac:dyDescent="0.3">
      <c r="B29" s="3" t="s">
        <v>540</v>
      </c>
      <c r="C29" s="3"/>
      <c r="D29" s="3"/>
      <c r="E29" s="3"/>
      <c r="F29" s="3"/>
      <c r="I29" s="18">
        <f>-('Financial Statements'!I84+'Financial Statements'!I75+'Financial Statements'!I80)</f>
        <v>-1604</v>
      </c>
      <c r="K29" s="356"/>
      <c r="L29" s="184">
        <v>0.06</v>
      </c>
      <c r="M29" s="254"/>
      <c r="N29" s="254"/>
      <c r="O29" s="254"/>
      <c r="P29" s="254"/>
      <c r="Q29" s="254"/>
    </row>
    <row r="30" spans="2:27" x14ac:dyDescent="0.3">
      <c r="B30" s="3" t="s">
        <v>541</v>
      </c>
      <c r="C30" s="3"/>
      <c r="D30" s="3"/>
      <c r="E30" s="3"/>
      <c r="F30" s="3"/>
      <c r="I30" s="18">
        <f>Assumptions!H149</f>
        <v>130400</v>
      </c>
      <c r="K30" s="356"/>
      <c r="L30" s="184">
        <v>6.5000000000000002E-2</v>
      </c>
      <c r="M30" s="254"/>
      <c r="N30" s="254"/>
      <c r="O30" s="281"/>
      <c r="P30" s="254"/>
      <c r="Q30" s="254"/>
      <c r="S30" s="182"/>
    </row>
    <row r="31" spans="2:27" ht="14.25" customHeight="1" x14ac:dyDescent="0.3">
      <c r="B31" s="3" t="s">
        <v>542</v>
      </c>
      <c r="C31" s="3"/>
      <c r="D31" s="3"/>
      <c r="E31" s="3"/>
      <c r="F31" s="3"/>
      <c r="I31" s="18">
        <f>Schedules!I342</f>
        <v>-296</v>
      </c>
      <c r="K31" s="356"/>
      <c r="L31" s="184">
        <v>7.0000000000000007E-2</v>
      </c>
      <c r="M31" s="254"/>
      <c r="N31" s="254"/>
      <c r="O31" s="254"/>
      <c r="P31" s="254"/>
      <c r="Q31" s="254"/>
    </row>
    <row r="32" spans="2:27" x14ac:dyDescent="0.3">
      <c r="B32" s="70" t="s">
        <v>543</v>
      </c>
      <c r="C32" s="70"/>
      <c r="D32" s="70"/>
      <c r="E32" s="3"/>
      <c r="F32" s="3"/>
      <c r="G32" s="34"/>
      <c r="I32" s="34">
        <f>I28+I29+I30+I31</f>
        <v>572103.20251070568</v>
      </c>
      <c r="J32" s="3"/>
      <c r="K32" s="3"/>
      <c r="L32" s="3"/>
      <c r="M32" s="3"/>
      <c r="N32" s="3"/>
      <c r="O32" s="3"/>
    </row>
    <row r="33" spans="2:17" ht="14.5" thickBot="1" x14ac:dyDescent="0.35">
      <c r="B33" s="3" t="s">
        <v>544</v>
      </c>
      <c r="C33" s="3"/>
      <c r="D33" s="3"/>
      <c r="E33" s="3"/>
      <c r="F33" s="3"/>
      <c r="I33" s="18">
        <f>Assumptions!P7</f>
        <v>640.30510000000004</v>
      </c>
      <c r="J33" s="3"/>
      <c r="K33" s="3"/>
      <c r="L33" s="3"/>
      <c r="M33" s="3"/>
      <c r="N33" s="3"/>
      <c r="O33" s="3"/>
    </row>
    <row r="34" spans="2:17" ht="14.5" thickBot="1" x14ac:dyDescent="0.35">
      <c r="B34" s="300" t="s">
        <v>545</v>
      </c>
      <c r="C34" s="301"/>
      <c r="D34" s="301"/>
      <c r="E34" s="302"/>
      <c r="F34" s="302"/>
      <c r="G34" s="303"/>
      <c r="H34" s="302"/>
      <c r="I34" s="304">
        <f>I32/I33</f>
        <v>893.48531272155356</v>
      </c>
      <c r="J34" s="188"/>
      <c r="K34" s="325"/>
      <c r="L34" s="3"/>
      <c r="M34" s="3"/>
      <c r="N34" s="3"/>
      <c r="O34" s="3"/>
    </row>
    <row r="35" spans="2:17" x14ac:dyDescent="0.3"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</row>
    <row r="36" spans="2:17" x14ac:dyDescent="0.3">
      <c r="B36" s="129" t="s">
        <v>530</v>
      </c>
      <c r="C36" s="130"/>
      <c r="D36" s="131"/>
      <c r="E36" s="131"/>
      <c r="F36" s="113"/>
      <c r="G36" s="130" t="s">
        <v>546</v>
      </c>
      <c r="H36" s="113"/>
      <c r="I36" s="134"/>
      <c r="J36" s="3"/>
      <c r="K36" s="3"/>
      <c r="L36" s="3"/>
      <c r="M36" s="3"/>
      <c r="N36" s="3"/>
      <c r="O36" s="3"/>
    </row>
    <row r="37" spans="2:17" x14ac:dyDescent="0.3">
      <c r="B37" s="99" t="s">
        <v>535</v>
      </c>
      <c r="C37" s="67"/>
      <c r="D37" s="67"/>
      <c r="E37" s="3"/>
      <c r="F37" s="3"/>
      <c r="G37" s="128"/>
      <c r="I37" s="184">
        <f>Assumptions!P146</f>
        <v>0.1037</v>
      </c>
      <c r="J37" s="31"/>
      <c r="K37" s="31"/>
      <c r="L37" s="31"/>
      <c r="M37" s="31"/>
      <c r="N37" s="31"/>
      <c r="O37" s="31"/>
    </row>
    <row r="38" spans="2:17" x14ac:dyDescent="0.3">
      <c r="B38" s="79" t="s">
        <v>547</v>
      </c>
      <c r="C38" s="3"/>
      <c r="D38" s="3"/>
      <c r="E38" s="3"/>
      <c r="F38" s="3"/>
      <c r="G38" s="124"/>
      <c r="I38" s="184">
        <v>0.06</v>
      </c>
      <c r="J38" s="3"/>
      <c r="K38" s="30"/>
      <c r="L38" s="3"/>
      <c r="M38" s="3"/>
      <c r="N38" s="3"/>
      <c r="O38" s="3"/>
    </row>
    <row r="39" spans="2:17" x14ac:dyDescent="0.3">
      <c r="B39" s="79" t="s">
        <v>548</v>
      </c>
      <c r="C39" s="3"/>
      <c r="D39" s="3"/>
      <c r="E39" s="3"/>
      <c r="F39" s="3"/>
      <c r="I39" s="160">
        <f>Q22*(1+I38)/(I37-I38)</f>
        <v>658667.78577334504</v>
      </c>
      <c r="J39" s="3"/>
      <c r="K39" s="3"/>
      <c r="L39" s="3"/>
      <c r="M39" s="3"/>
      <c r="N39" s="3"/>
      <c r="O39" s="3"/>
    </row>
    <row r="40" spans="2:17" x14ac:dyDescent="0.3">
      <c r="B40" s="83" t="s">
        <v>549</v>
      </c>
      <c r="C40" s="90"/>
      <c r="D40" s="90"/>
      <c r="E40" s="90"/>
      <c r="F40" s="90"/>
      <c r="G40" s="82"/>
      <c r="H40" s="90"/>
      <c r="I40" s="161">
        <f>I39*Q20</f>
        <v>241756.30818343678</v>
      </c>
      <c r="J40" s="3"/>
      <c r="K40" s="3"/>
      <c r="L40" s="3"/>
      <c r="M40" s="3"/>
      <c r="N40" s="3"/>
      <c r="O40" s="3"/>
    </row>
    <row r="41" spans="2:17" x14ac:dyDescent="0.3">
      <c r="B41" s="3"/>
      <c r="C41" s="3"/>
      <c r="D41" s="3"/>
      <c r="E41" s="3"/>
      <c r="F41" s="3"/>
      <c r="G41" s="3"/>
      <c r="H41" s="90"/>
      <c r="I41" s="3"/>
      <c r="J41" s="3"/>
      <c r="K41" s="3"/>
      <c r="L41" s="3"/>
      <c r="M41" s="3"/>
      <c r="N41" s="3"/>
      <c r="O41" s="3"/>
    </row>
    <row r="42" spans="2:17" x14ac:dyDescent="0.3">
      <c r="B42" s="66" t="s">
        <v>550</v>
      </c>
      <c r="C42" s="67"/>
      <c r="D42" s="67"/>
      <c r="E42" s="67"/>
      <c r="F42" s="67"/>
      <c r="G42" s="132"/>
      <c r="I42" s="132">
        <f t="shared" ref="I42:Q42" si="9">YEARFRAC($H$7,I11)</f>
        <v>0.5</v>
      </c>
      <c r="J42" s="132">
        <f t="shared" si="9"/>
        <v>1.5027777777777778</v>
      </c>
      <c r="K42" s="132">
        <f t="shared" si="9"/>
        <v>2.5</v>
      </c>
      <c r="L42" s="132">
        <f t="shared" si="9"/>
        <v>3.5</v>
      </c>
      <c r="M42" s="132">
        <f t="shared" si="9"/>
        <v>4.5</v>
      </c>
      <c r="N42" s="132">
        <f t="shared" si="9"/>
        <v>5.5027777777777782</v>
      </c>
      <c r="O42" s="132">
        <f t="shared" si="9"/>
        <v>6.5</v>
      </c>
      <c r="P42" s="132">
        <f t="shared" si="9"/>
        <v>7.5</v>
      </c>
      <c r="Q42" s="132">
        <f t="shared" si="9"/>
        <v>8.5</v>
      </c>
    </row>
    <row r="43" spans="2:17" x14ac:dyDescent="0.3">
      <c r="B43" s="83" t="s">
        <v>551</v>
      </c>
      <c r="C43" s="90"/>
      <c r="D43" s="90"/>
      <c r="E43" s="90"/>
      <c r="F43" s="90"/>
      <c r="G43" s="133"/>
      <c r="H43" s="90"/>
      <c r="I43" s="133">
        <f>YEARFRAC($H$7,I7)</f>
        <v>1</v>
      </c>
      <c r="J43" s="133">
        <f t="shared" ref="J43:Q43" si="10">YEARFRAC($H$7,J7)</f>
        <v>2</v>
      </c>
      <c r="K43" s="133">
        <f t="shared" si="10"/>
        <v>3</v>
      </c>
      <c r="L43" s="133">
        <f t="shared" si="10"/>
        <v>4</v>
      </c>
      <c r="M43" s="133">
        <f t="shared" si="10"/>
        <v>5</v>
      </c>
      <c r="N43" s="133">
        <f t="shared" si="10"/>
        <v>6</v>
      </c>
      <c r="O43" s="133">
        <f t="shared" si="10"/>
        <v>7</v>
      </c>
      <c r="P43" s="133">
        <f t="shared" si="10"/>
        <v>8</v>
      </c>
      <c r="Q43" s="133">
        <f t="shared" si="10"/>
        <v>9</v>
      </c>
    </row>
    <row r="45" spans="2:17" x14ac:dyDescent="0.3">
      <c r="B45" s="70" t="s">
        <v>552</v>
      </c>
      <c r="C45" s="3"/>
      <c r="D45" s="3"/>
      <c r="E45" s="3"/>
      <c r="F45" s="3"/>
    </row>
    <row r="46" spans="2:17" x14ac:dyDescent="0.3">
      <c r="B46" s="3"/>
      <c r="C46" s="3"/>
      <c r="D46" s="3"/>
      <c r="E46" s="3"/>
      <c r="F46" s="3"/>
    </row>
    <row r="47" spans="2:17" x14ac:dyDescent="0.3">
      <c r="B47" s="70" t="s">
        <v>557</v>
      </c>
      <c r="C47" s="3"/>
      <c r="D47" s="3"/>
      <c r="E47" s="3"/>
      <c r="F47" s="3"/>
    </row>
    <row r="48" spans="2:17" x14ac:dyDescent="0.3">
      <c r="B48" s="130" t="s">
        <v>130</v>
      </c>
      <c r="C48" s="113"/>
      <c r="D48" s="113"/>
      <c r="E48" s="130"/>
      <c r="F48" s="113"/>
      <c r="G48" s="130"/>
      <c r="H48" s="113"/>
      <c r="I48" s="113"/>
      <c r="J48" s="113"/>
      <c r="K48" s="113"/>
      <c r="L48" s="113"/>
      <c r="M48" s="113"/>
      <c r="N48" s="113"/>
      <c r="O48" s="113"/>
      <c r="P48" s="113"/>
      <c r="Q48" s="113"/>
    </row>
    <row r="49" spans="2:17" ht="14.5" x14ac:dyDescent="0.35">
      <c r="B49" s="3" t="s">
        <v>751</v>
      </c>
      <c r="C49" s="3"/>
      <c r="E49" s="3"/>
      <c r="F49" s="162">
        <f>Assumptions!P140</f>
        <v>5.2049999999999992E-2</v>
      </c>
    </row>
    <row r="50" spans="2:17" ht="14.5" x14ac:dyDescent="0.35">
      <c r="B50" s="3" t="s">
        <v>554</v>
      </c>
      <c r="C50" s="3"/>
      <c r="E50" s="3"/>
      <c r="G50" s="162"/>
      <c r="I50" s="27">
        <f>Beta!J9</f>
        <v>1.1157398019485523</v>
      </c>
      <c r="J50" s="27">
        <f>I50+($Q$50-$I$50)/COUNT($J$6:$Q$6)</f>
        <v>1.1012723267049833</v>
      </c>
      <c r="K50" s="27">
        <f t="shared" ref="K50:P50" si="11">J50+($Q$50-$I$50)/COUNT($J$6:$Q$6)</f>
        <v>1.0868048514614144</v>
      </c>
      <c r="L50" s="27">
        <f t="shared" si="11"/>
        <v>1.0723373762178454</v>
      </c>
      <c r="M50" s="27">
        <f t="shared" si="11"/>
        <v>1.0578699009742765</v>
      </c>
      <c r="N50" s="27">
        <f t="shared" si="11"/>
        <v>1.0434024257307075</v>
      </c>
      <c r="O50" s="27">
        <f t="shared" si="11"/>
        <v>1.0289349504871386</v>
      </c>
      <c r="P50" s="27">
        <f t="shared" si="11"/>
        <v>1.0144674752435696</v>
      </c>
      <c r="Q50" s="27">
        <v>1</v>
      </c>
    </row>
    <row r="51" spans="2:17" ht="14.5" x14ac:dyDescent="0.35">
      <c r="B51" s="3"/>
      <c r="C51" s="3"/>
      <c r="E51" s="3"/>
      <c r="G51" s="162"/>
      <c r="H51" s="35"/>
    </row>
    <row r="52" spans="2:17" ht="14.5" x14ac:dyDescent="0.35">
      <c r="B52" s="3" t="s">
        <v>778</v>
      </c>
      <c r="C52" s="3"/>
      <c r="E52" s="3"/>
      <c r="F52" s="162">
        <f>Assumptions!P142</f>
        <v>4.4600000000000001E-2</v>
      </c>
      <c r="H52" s="35"/>
    </row>
    <row r="53" spans="2:17" ht="14.5" x14ac:dyDescent="0.35">
      <c r="B53" s="3" t="s">
        <v>555</v>
      </c>
      <c r="C53" s="3"/>
      <c r="E53" s="3"/>
      <c r="F53" s="162">
        <f>Assumptions!P143</f>
        <v>2.8500000000000001E-2</v>
      </c>
    </row>
    <row r="54" spans="2:17" ht="14.5" x14ac:dyDescent="0.35">
      <c r="B54" s="90" t="s">
        <v>553</v>
      </c>
      <c r="C54" s="90"/>
      <c r="D54" s="82"/>
      <c r="E54" s="90"/>
      <c r="F54" s="82"/>
      <c r="G54" s="136"/>
      <c r="H54" s="90"/>
      <c r="I54" s="120">
        <f>$F$49+I50*$F$52+$F$53</f>
        <v>0.13031199516690542</v>
      </c>
      <c r="J54" s="120">
        <f t="shared" ref="J54:Q54" si="12">$F$49+J50*$F$52+$F$53</f>
        <v>0.12966674577104226</v>
      </c>
      <c r="K54" s="120">
        <f t="shared" si="12"/>
        <v>0.12902149637517907</v>
      </c>
      <c r="L54" s="120">
        <f t="shared" si="12"/>
        <v>0.12837624697931591</v>
      </c>
      <c r="M54" s="120">
        <f t="shared" si="12"/>
        <v>0.12773099758345272</v>
      </c>
      <c r="N54" s="120">
        <f t="shared" si="12"/>
        <v>0.12708574818758955</v>
      </c>
      <c r="O54" s="120">
        <f t="shared" si="12"/>
        <v>0.12644049879172636</v>
      </c>
      <c r="P54" s="120">
        <f t="shared" si="12"/>
        <v>0.1257952493958632</v>
      </c>
      <c r="Q54" s="120">
        <f t="shared" si="12"/>
        <v>0.12514999999999998</v>
      </c>
    </row>
    <row r="55" spans="2:17" x14ac:dyDescent="0.3">
      <c r="B55" s="3"/>
      <c r="C55" s="3"/>
      <c r="D55" s="3"/>
      <c r="E55" s="3"/>
      <c r="F55" s="3"/>
    </row>
    <row r="56" spans="2:17" x14ac:dyDescent="0.3">
      <c r="B56" s="3"/>
      <c r="C56" s="3"/>
      <c r="D56" s="3"/>
      <c r="E56" s="3"/>
      <c r="F56" s="3"/>
    </row>
    <row r="57" spans="2:17" x14ac:dyDescent="0.3">
      <c r="B57" s="3"/>
      <c r="C57" s="3"/>
      <c r="D57" s="3"/>
      <c r="E57" s="3"/>
      <c r="F57" s="3"/>
    </row>
    <row r="58" spans="2:17" x14ac:dyDescent="0.3">
      <c r="B58" s="3"/>
      <c r="C58" s="3"/>
      <c r="D58" s="3"/>
      <c r="E58" s="3"/>
      <c r="F58" s="3"/>
      <c r="G58" s="36"/>
    </row>
    <row r="59" spans="2:17" x14ac:dyDescent="0.3">
      <c r="B59" s="3"/>
      <c r="C59" s="3"/>
      <c r="D59" s="3"/>
      <c r="E59" s="3"/>
      <c r="F59" s="3"/>
    </row>
    <row r="60" spans="2:17" x14ac:dyDescent="0.3">
      <c r="B60" s="3"/>
      <c r="C60" s="3"/>
      <c r="D60" s="3"/>
      <c r="E60" s="3"/>
      <c r="F60" s="3"/>
    </row>
    <row r="61" spans="2:17" x14ac:dyDescent="0.3">
      <c r="B61" s="3"/>
      <c r="C61" s="3"/>
      <c r="D61" s="3"/>
      <c r="E61" s="3"/>
      <c r="F61" s="3"/>
    </row>
    <row r="62" spans="2:17" x14ac:dyDescent="0.3">
      <c r="B62" s="3"/>
      <c r="C62" s="3"/>
      <c r="D62" s="3"/>
      <c r="E62" s="3"/>
      <c r="F62" s="3"/>
    </row>
    <row r="63" spans="2:17" x14ac:dyDescent="0.3">
      <c r="B63" s="3"/>
      <c r="C63" s="3"/>
      <c r="D63" s="3"/>
      <c r="E63" s="3"/>
      <c r="F63" s="3"/>
    </row>
    <row r="64" spans="2:17" x14ac:dyDescent="0.3">
      <c r="B64" s="3"/>
      <c r="C64" s="3"/>
      <c r="D64" s="3"/>
      <c r="E64" s="3"/>
      <c r="F64" s="3"/>
    </row>
    <row r="65" spans="2:6" x14ac:dyDescent="0.3">
      <c r="B65" s="3"/>
      <c r="C65" s="3"/>
      <c r="D65" s="3"/>
      <c r="E65" s="3"/>
      <c r="F65" s="3"/>
    </row>
    <row r="66" spans="2:6" x14ac:dyDescent="0.3">
      <c r="B66" s="3"/>
      <c r="C66" s="3"/>
      <c r="D66" s="3"/>
      <c r="E66" s="3"/>
      <c r="F66" s="3"/>
    </row>
    <row r="67" spans="2:6" x14ac:dyDescent="0.3">
      <c r="B67" s="3"/>
      <c r="C67" s="3"/>
      <c r="D67" s="3"/>
      <c r="E67" s="3"/>
      <c r="F67" s="3"/>
    </row>
    <row r="68" spans="2:6" x14ac:dyDescent="0.3">
      <c r="B68" s="3"/>
      <c r="C68" s="3"/>
      <c r="D68" s="3"/>
      <c r="E68" s="3"/>
      <c r="F68" s="3"/>
    </row>
    <row r="69" spans="2:6" x14ac:dyDescent="0.3">
      <c r="B69" s="3"/>
      <c r="C69" s="3"/>
      <c r="D69" s="3"/>
      <c r="E69" s="3"/>
      <c r="F69" s="3"/>
    </row>
    <row r="70" spans="2:6" x14ac:dyDescent="0.3">
      <c r="B70" s="3"/>
      <c r="C70" s="3"/>
      <c r="D70" s="3"/>
      <c r="E70" s="3"/>
      <c r="F70" s="3"/>
    </row>
    <row r="71" spans="2:6" x14ac:dyDescent="0.3">
      <c r="B71" s="3"/>
      <c r="C71" s="3"/>
      <c r="D71" s="3"/>
      <c r="E71" s="3"/>
      <c r="F71" s="3"/>
    </row>
    <row r="72" spans="2:6" x14ac:dyDescent="0.3">
      <c r="B72" s="3"/>
      <c r="C72" s="3"/>
      <c r="D72" s="3"/>
      <c r="E72" s="3"/>
      <c r="F72" s="3"/>
    </row>
    <row r="73" spans="2:6" x14ac:dyDescent="0.3">
      <c r="B73" s="3"/>
      <c r="C73" s="3"/>
      <c r="D73" s="3"/>
      <c r="E73" s="3"/>
      <c r="F73" s="3"/>
    </row>
    <row r="74" spans="2:6" x14ac:dyDescent="0.3">
      <c r="B74" s="3"/>
      <c r="C74" s="3"/>
      <c r="D74" s="3"/>
      <c r="E74" s="3"/>
      <c r="F74" s="3"/>
    </row>
    <row r="75" spans="2:6" x14ac:dyDescent="0.3">
      <c r="B75" s="3"/>
      <c r="C75" s="3"/>
      <c r="D75" s="3"/>
      <c r="E75" s="3"/>
      <c r="F75" s="3"/>
    </row>
  </sheetData>
  <mergeCells count="3">
    <mergeCell ref="L24:Q24"/>
    <mergeCell ref="L25:Q25"/>
    <mergeCell ref="K26:K31"/>
  </mergeCells>
  <dataValidations count="1">
    <dataValidation allowBlank="1" showErrorMessage="1" sqref="C11" xr:uid="{01680035-97F1-44FA-8656-1F327B3CB3BB}"/>
  </dataValidations>
  <pageMargins left="0.7" right="0.7" top="0.75" bottom="0.75" header="0.3" footer="0.3"/>
  <ignoredErrors>
    <ignoredError sqref="I27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2DB14-BF97-4379-97C2-0DCB587E346E}">
  <sheetPr codeName="Sheet9"/>
  <dimension ref="B1:M36"/>
  <sheetViews>
    <sheetView showGridLines="0" topLeftCell="A2" workbookViewId="0">
      <selection activeCell="B9" sqref="B9"/>
    </sheetView>
  </sheetViews>
  <sheetFormatPr defaultColWidth="8.90625" defaultRowHeight="14" x14ac:dyDescent="0.3"/>
  <cols>
    <col min="1" max="1" width="2.36328125" style="18" customWidth="1"/>
    <col min="2" max="2" width="40.453125" style="3" bestFit="1" customWidth="1"/>
    <col min="3" max="3" width="14.453125" style="18" bestFit="1" customWidth="1"/>
    <col min="4" max="4" width="31.54296875" style="18" customWidth="1"/>
    <col min="5" max="5" width="30.1796875" style="18" customWidth="1"/>
    <col min="6" max="6" width="21" style="18" customWidth="1"/>
    <col min="7" max="7" width="19.6328125" style="18" customWidth="1"/>
    <col min="8" max="8" width="8.90625" style="18"/>
    <col min="9" max="9" width="11.90625" style="18" bestFit="1" customWidth="1"/>
    <col min="10" max="10" width="21.453125" style="18" customWidth="1"/>
    <col min="11" max="11" width="13.81640625" style="18" customWidth="1"/>
    <col min="12" max="12" width="8.90625" style="18"/>
    <col min="13" max="13" width="10.36328125" style="18" customWidth="1"/>
    <col min="14" max="16384" width="8.90625" style="18"/>
  </cols>
  <sheetData>
    <row r="1" spans="2:13" ht="7.25" customHeight="1" x14ac:dyDescent="0.3"/>
    <row r="2" spans="2:13" ht="30" x14ac:dyDescent="0.6">
      <c r="B2" s="239" t="str">
        <f>Cover!B8</f>
        <v>ONE 97 COMMUNICATIONS LIMITED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spans="2:13" ht="19" x14ac:dyDescent="0.4">
      <c r="B3" s="44" t="s">
        <v>708</v>
      </c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spans="2:13" ht="14.4" customHeight="1" x14ac:dyDescent="0.4">
      <c r="B4" s="44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</row>
    <row r="5" spans="2:13" s="70" customFormat="1" ht="28.5" thickBot="1" x14ac:dyDescent="0.35">
      <c r="B5" s="240" t="s">
        <v>629</v>
      </c>
      <c r="C5" s="240" t="s">
        <v>628</v>
      </c>
      <c r="D5" s="241" t="s">
        <v>645</v>
      </c>
      <c r="E5" s="241" t="s">
        <v>644</v>
      </c>
      <c r="F5" s="241" t="s">
        <v>643</v>
      </c>
      <c r="G5" s="241" t="s">
        <v>720</v>
      </c>
      <c r="H5" s="240"/>
      <c r="I5" s="240" t="s">
        <v>646</v>
      </c>
      <c r="J5" s="247" t="s">
        <v>721</v>
      </c>
      <c r="K5" s="247" t="s">
        <v>749</v>
      </c>
      <c r="L5" s="247" t="s">
        <v>750</v>
      </c>
      <c r="M5" s="247" t="s">
        <v>892</v>
      </c>
    </row>
    <row r="6" spans="2:13" x14ac:dyDescent="0.3">
      <c r="B6" s="243" t="s">
        <v>617</v>
      </c>
      <c r="C6" s="18" t="s">
        <v>630</v>
      </c>
      <c r="D6" s="189">
        <v>2181.9</v>
      </c>
      <c r="E6" s="189">
        <v>2329.6999999999998</v>
      </c>
      <c r="F6" s="189">
        <v>297.3</v>
      </c>
      <c r="G6" s="189">
        <v>48.5</v>
      </c>
      <c r="I6" s="191">
        <f>E6/F6</f>
        <v>7.8361923982509243</v>
      </c>
      <c r="J6" s="244">
        <v>0.25900000000000001</v>
      </c>
      <c r="K6" s="244">
        <v>0.1918</v>
      </c>
      <c r="L6" s="244">
        <v>0.33810000000000001</v>
      </c>
      <c r="M6" s="244">
        <v>0</v>
      </c>
    </row>
    <row r="7" spans="2:13" x14ac:dyDescent="0.3">
      <c r="B7" s="243" t="s">
        <v>618</v>
      </c>
      <c r="C7" s="18" t="s">
        <v>631</v>
      </c>
      <c r="D7" s="189">
        <v>1402.1</v>
      </c>
      <c r="E7" s="189">
        <v>1284.4000000000001</v>
      </c>
      <c r="F7" s="189">
        <v>925.4</v>
      </c>
      <c r="G7" s="189">
        <v>-20.8</v>
      </c>
      <c r="I7" s="191">
        <f t="shared" ref="I7:I22" si="0">E7/F7</f>
        <v>1.3879403501188676</v>
      </c>
      <c r="J7" s="244">
        <v>0.15</v>
      </c>
      <c r="K7" s="244">
        <v>2.8000000000000001E-2</v>
      </c>
      <c r="L7" s="244">
        <v>0.46450000000000002</v>
      </c>
      <c r="M7" s="244">
        <v>0</v>
      </c>
    </row>
    <row r="8" spans="2:13" x14ac:dyDescent="0.3">
      <c r="B8" s="243" t="s">
        <v>711</v>
      </c>
      <c r="C8" s="18" t="s">
        <v>632</v>
      </c>
      <c r="D8" s="189">
        <v>3609.8</v>
      </c>
      <c r="E8" s="189">
        <v>3635</v>
      </c>
      <c r="F8" s="189">
        <v>1096.2</v>
      </c>
      <c r="G8" s="189">
        <v>17</v>
      </c>
      <c r="I8" s="191">
        <f t="shared" si="0"/>
        <v>3.3160007297938332</v>
      </c>
      <c r="J8" s="244">
        <v>0.52</v>
      </c>
      <c r="K8" s="244">
        <v>6.3E-2</v>
      </c>
      <c r="L8" s="244">
        <v>0.28560000000000002</v>
      </c>
      <c r="M8" s="244">
        <v>0</v>
      </c>
    </row>
    <row r="9" spans="2:13" x14ac:dyDescent="0.3">
      <c r="B9" s="243" t="s">
        <v>619</v>
      </c>
      <c r="C9" s="18" t="s">
        <v>633</v>
      </c>
      <c r="D9" s="189">
        <v>22830.2</v>
      </c>
      <c r="E9" s="189">
        <v>23042.2</v>
      </c>
      <c r="F9" s="189">
        <v>5797.8</v>
      </c>
      <c r="G9" s="189">
        <v>39</v>
      </c>
      <c r="I9" s="191">
        <f t="shared" si="0"/>
        <v>3.9743005967780882</v>
      </c>
      <c r="J9" s="244">
        <v>1.1718</v>
      </c>
      <c r="K9" s="244">
        <v>6.2100000000000002E-2</v>
      </c>
      <c r="L9" s="245">
        <v>0.37</v>
      </c>
      <c r="M9" s="244">
        <v>0</v>
      </c>
    </row>
    <row r="10" spans="2:13" x14ac:dyDescent="0.3">
      <c r="B10" s="243" t="s">
        <v>620</v>
      </c>
      <c r="C10" s="18" t="s">
        <v>634</v>
      </c>
      <c r="D10" s="189">
        <v>7925.2</v>
      </c>
      <c r="E10" s="189">
        <v>7795.2</v>
      </c>
      <c r="F10" s="189">
        <v>1050.0999999999999</v>
      </c>
      <c r="G10" s="189">
        <v>15.7</v>
      </c>
      <c r="I10" s="191">
        <f t="shared" si="0"/>
        <v>7.4232930197124087</v>
      </c>
      <c r="J10" s="244">
        <v>1.1889000000000001</v>
      </c>
      <c r="K10" s="244">
        <v>7.2800000000000004E-2</v>
      </c>
      <c r="L10" s="244">
        <v>0.32119999999999999</v>
      </c>
      <c r="M10" s="244">
        <v>0</v>
      </c>
    </row>
    <row r="11" spans="2:13" x14ac:dyDescent="0.3">
      <c r="B11" s="243" t="s">
        <v>621</v>
      </c>
      <c r="C11" s="18" t="s">
        <v>635</v>
      </c>
      <c r="D11" s="189">
        <v>939.3</v>
      </c>
      <c r="E11" s="189">
        <v>1262.9000000000001</v>
      </c>
      <c r="F11" s="189">
        <v>167.3</v>
      </c>
      <c r="G11" s="189">
        <v>50.6</v>
      </c>
      <c r="I11" s="191">
        <f t="shared" si="0"/>
        <v>7.5487148834429165</v>
      </c>
      <c r="J11" s="244">
        <v>0.1114</v>
      </c>
      <c r="K11" s="244">
        <v>0.30280000000000001</v>
      </c>
      <c r="L11" s="244">
        <v>0.22040000000000001</v>
      </c>
      <c r="M11" s="244">
        <v>0.38</v>
      </c>
    </row>
    <row r="12" spans="2:13" x14ac:dyDescent="0.3">
      <c r="B12" s="243" t="s">
        <v>712</v>
      </c>
      <c r="C12" s="18" t="s">
        <v>636</v>
      </c>
      <c r="D12" s="189">
        <v>6376</v>
      </c>
      <c r="E12" s="189">
        <v>6299.3</v>
      </c>
      <c r="F12" s="189">
        <v>352.3</v>
      </c>
      <c r="G12" s="189">
        <v>150</v>
      </c>
      <c r="I12" s="191">
        <f t="shared" si="0"/>
        <v>17.880499574226512</v>
      </c>
      <c r="J12" s="244">
        <v>0.21</v>
      </c>
      <c r="K12" s="244">
        <v>0.4</v>
      </c>
      <c r="L12" s="244">
        <v>0.25740000000000002</v>
      </c>
      <c r="M12" s="244">
        <v>0.376</v>
      </c>
    </row>
    <row r="13" spans="2:13" x14ac:dyDescent="0.3">
      <c r="B13" s="243" t="s">
        <v>622</v>
      </c>
      <c r="C13" s="18" t="s">
        <v>637</v>
      </c>
      <c r="D13" s="189">
        <v>680.9</v>
      </c>
      <c r="E13" s="189">
        <v>715.4</v>
      </c>
      <c r="F13" s="189">
        <v>133.4</v>
      </c>
      <c r="G13" s="190">
        <v>6.33</v>
      </c>
      <c r="I13" s="191">
        <f t="shared" si="0"/>
        <v>5.3628185907046468</v>
      </c>
      <c r="J13" s="244">
        <v>0.46</v>
      </c>
      <c r="K13" s="244">
        <v>0.11</v>
      </c>
      <c r="L13" s="244">
        <v>0.53510000000000002</v>
      </c>
      <c r="M13" s="244">
        <v>0</v>
      </c>
    </row>
    <row r="14" spans="2:13" x14ac:dyDescent="0.3">
      <c r="B14" s="243" t="s">
        <v>623</v>
      </c>
      <c r="C14" s="18" t="s">
        <v>638</v>
      </c>
      <c r="D14" s="189">
        <v>968.9</v>
      </c>
      <c r="E14" s="189">
        <v>1018.4</v>
      </c>
      <c r="F14" s="189">
        <v>217.2</v>
      </c>
      <c r="G14" s="190">
        <v>5.45</v>
      </c>
      <c r="I14" s="191">
        <f t="shared" si="0"/>
        <v>4.6887661141804786</v>
      </c>
      <c r="J14" s="244">
        <v>0.51800000000000002</v>
      </c>
      <c r="K14" s="244">
        <v>0.08</v>
      </c>
      <c r="L14" s="244">
        <v>0.41889999999999999</v>
      </c>
      <c r="M14" s="244">
        <v>0</v>
      </c>
    </row>
    <row r="15" spans="2:13" x14ac:dyDescent="0.3">
      <c r="B15" s="243" t="s">
        <v>624</v>
      </c>
      <c r="C15" s="18" t="s">
        <v>639</v>
      </c>
      <c r="D15" s="189">
        <v>112.8</v>
      </c>
      <c r="E15" s="189">
        <v>166.9</v>
      </c>
      <c r="F15" s="189">
        <v>123.1</v>
      </c>
      <c r="G15" s="190">
        <v>-6.62</v>
      </c>
      <c r="I15" s="191">
        <f t="shared" si="0"/>
        <v>1.3558082859463851</v>
      </c>
      <c r="J15" s="244">
        <v>1.1399999999999999</v>
      </c>
      <c r="K15" s="244">
        <v>0.06</v>
      </c>
      <c r="L15" s="244">
        <v>0.53820000000000001</v>
      </c>
      <c r="M15" s="244">
        <v>0</v>
      </c>
    </row>
    <row r="16" spans="2:13" x14ac:dyDescent="0.3">
      <c r="B16" s="243" t="s">
        <v>625</v>
      </c>
      <c r="C16" s="18" t="s">
        <v>640</v>
      </c>
      <c r="D16" s="189">
        <v>7522.3</v>
      </c>
      <c r="E16" s="189">
        <v>7750.7</v>
      </c>
      <c r="F16" s="189">
        <v>724.6</v>
      </c>
      <c r="G16" s="189">
        <v>71.400000000000006</v>
      </c>
      <c r="I16" s="191">
        <f t="shared" si="0"/>
        <v>10.696522219155396</v>
      </c>
      <c r="J16" s="244">
        <v>0.44550000000000001</v>
      </c>
      <c r="K16" s="244">
        <v>0.16109999999999999</v>
      </c>
      <c r="L16" s="244">
        <v>0.27889999999999998</v>
      </c>
      <c r="M16" s="244">
        <v>0</v>
      </c>
    </row>
    <row r="17" spans="2:13" x14ac:dyDescent="0.3">
      <c r="B17" s="243" t="s">
        <v>626</v>
      </c>
      <c r="C17" s="18" t="s">
        <v>641</v>
      </c>
      <c r="D17" s="189">
        <v>1711.7</v>
      </c>
      <c r="E17" s="189">
        <v>2255.6</v>
      </c>
      <c r="F17" s="189">
        <v>290.3</v>
      </c>
      <c r="G17" s="190">
        <v>2.7</v>
      </c>
      <c r="I17" s="191">
        <f t="shared" si="0"/>
        <v>7.769893213916637</v>
      </c>
      <c r="J17" s="244">
        <v>0.90900000000000003</v>
      </c>
      <c r="K17" s="244">
        <v>0.21440000000000001</v>
      </c>
      <c r="L17" s="244">
        <v>0.46560000000000001</v>
      </c>
      <c r="M17" s="244">
        <v>0</v>
      </c>
    </row>
    <row r="18" spans="2:13" x14ac:dyDescent="0.3">
      <c r="B18" s="243" t="s">
        <v>627</v>
      </c>
      <c r="C18" s="18" t="s">
        <v>642</v>
      </c>
      <c r="D18" s="189">
        <v>6436.3</v>
      </c>
      <c r="E18" s="189">
        <v>6933.8</v>
      </c>
      <c r="F18" s="189">
        <v>2458.6</v>
      </c>
      <c r="G18" s="189">
        <v>-443</v>
      </c>
      <c r="I18" s="191">
        <f t="shared" si="0"/>
        <v>2.8202228910762224</v>
      </c>
      <c r="J18" s="244">
        <v>0.83</v>
      </c>
      <c r="K18" s="244">
        <v>0.04</v>
      </c>
      <c r="L18" s="244">
        <v>0.36170000000000002</v>
      </c>
      <c r="M18" s="244">
        <v>0</v>
      </c>
    </row>
    <row r="19" spans="2:13" x14ac:dyDescent="0.3">
      <c r="B19" s="243" t="s">
        <v>713</v>
      </c>
      <c r="C19" s="18" t="s">
        <v>716</v>
      </c>
      <c r="D19" s="189">
        <v>864.7</v>
      </c>
      <c r="E19" s="189">
        <v>945.7</v>
      </c>
      <c r="F19" s="189">
        <v>83.1</v>
      </c>
      <c r="G19" s="189">
        <v>23.8</v>
      </c>
      <c r="I19" s="191">
        <f t="shared" si="0"/>
        <v>11.380264741275573</v>
      </c>
      <c r="J19" s="244">
        <v>0.21299999999999999</v>
      </c>
      <c r="K19" s="244">
        <v>0.34</v>
      </c>
      <c r="L19" s="244">
        <v>0.52300000000000002</v>
      </c>
      <c r="M19" s="244">
        <v>0</v>
      </c>
    </row>
    <row r="20" spans="2:13" x14ac:dyDescent="0.3">
      <c r="B20" s="243" t="s">
        <v>714</v>
      </c>
      <c r="C20" s="18" t="s">
        <v>717</v>
      </c>
      <c r="D20" s="189">
        <v>1142.3</v>
      </c>
      <c r="E20" s="189">
        <v>1180.0999999999999</v>
      </c>
      <c r="F20" s="189">
        <v>252.4</v>
      </c>
      <c r="G20" s="189">
        <v>17.3</v>
      </c>
      <c r="I20" s="191">
        <f t="shared" si="0"/>
        <v>4.6755150554675113</v>
      </c>
      <c r="J20" s="244">
        <v>0.58199999999999996</v>
      </c>
      <c r="K20" s="244">
        <v>9.5000000000000001E-2</v>
      </c>
      <c r="L20" s="244">
        <v>0.40710000000000002</v>
      </c>
      <c r="M20" s="244">
        <v>0</v>
      </c>
    </row>
    <row r="21" spans="2:13" s="34" customFormat="1" x14ac:dyDescent="0.3">
      <c r="B21" s="243" t="s">
        <v>715</v>
      </c>
      <c r="C21" s="18" t="s">
        <v>718</v>
      </c>
      <c r="D21" s="189">
        <v>1177.7</v>
      </c>
      <c r="E21" s="189">
        <v>1304.5999999999999</v>
      </c>
      <c r="F21" s="189">
        <v>257</v>
      </c>
      <c r="G21" s="189">
        <v>27.1</v>
      </c>
      <c r="I21" s="191">
        <f t="shared" si="0"/>
        <v>5.0762645914396884</v>
      </c>
      <c r="J21" s="244">
        <v>0.36</v>
      </c>
      <c r="K21" s="244">
        <v>0.13</v>
      </c>
      <c r="L21" s="244">
        <v>0.4199</v>
      </c>
      <c r="M21" s="244">
        <v>0</v>
      </c>
    </row>
    <row r="22" spans="2:13" x14ac:dyDescent="0.3">
      <c r="B22" s="243" t="s">
        <v>710</v>
      </c>
      <c r="C22" s="18" t="s">
        <v>719</v>
      </c>
      <c r="D22" s="189">
        <v>342.6</v>
      </c>
      <c r="E22" s="189">
        <v>398.8</v>
      </c>
      <c r="F22" s="189">
        <v>189.4</v>
      </c>
      <c r="G22" s="189">
        <v>14.3</v>
      </c>
      <c r="I22" s="191">
        <f t="shared" si="0"/>
        <v>2.1055966209081309</v>
      </c>
      <c r="J22" s="244">
        <v>0.4</v>
      </c>
      <c r="K22" s="244">
        <v>0.08</v>
      </c>
      <c r="L22" s="244">
        <v>0.51449999999999996</v>
      </c>
      <c r="M22" s="244">
        <v>0</v>
      </c>
    </row>
    <row r="23" spans="2:13" ht="14.5" thickBot="1" x14ac:dyDescent="0.35"/>
    <row r="24" spans="2:13" ht="14.5" x14ac:dyDescent="0.35">
      <c r="B24" s="251" t="s">
        <v>724</v>
      </c>
      <c r="C24" s="251"/>
      <c r="D24" s="252"/>
      <c r="E24" s="252" t="s">
        <v>739</v>
      </c>
      <c r="F24" s="252" t="s">
        <v>740</v>
      </c>
    </row>
    <row r="25" spans="2:13" x14ac:dyDescent="0.3">
      <c r="B25" s="3" t="s">
        <v>725</v>
      </c>
      <c r="C25" s="3">
        <v>0.92173858333125447</v>
      </c>
      <c r="D25" s="3" t="s">
        <v>733</v>
      </c>
      <c r="E25" s="3">
        <v>5.332347411199148</v>
      </c>
      <c r="F25" s="3">
        <v>1.9369139615019655</v>
      </c>
    </row>
    <row r="26" spans="2:13" x14ac:dyDescent="0.3">
      <c r="B26" s="3" t="s">
        <v>726</v>
      </c>
      <c r="C26" s="3">
        <v>0.84960201600150798</v>
      </c>
      <c r="D26" s="3" t="str" cm="1">
        <f t="array" ref="D26:D29">TRANSPOSE(J5:M5)</f>
        <v>Analyst estimates of growth</v>
      </c>
      <c r="E26" s="3">
        <v>1.3823583005910567</v>
      </c>
      <c r="F26" s="3">
        <v>0.90739346674360066</v>
      </c>
    </row>
    <row r="27" spans="2:13" x14ac:dyDescent="0.3">
      <c r="B27" s="3" t="s">
        <v>727</v>
      </c>
      <c r="C27" s="3">
        <v>0.7994693546686773</v>
      </c>
      <c r="D27" s="3" t="str">
        <v>Forward net margin</v>
      </c>
      <c r="E27" s="3">
        <v>40.036828248662175</v>
      </c>
      <c r="F27" s="3">
        <v>6.2267269940840082</v>
      </c>
    </row>
    <row r="28" spans="2:13" x14ac:dyDescent="0.3">
      <c r="B28" s="3" t="s">
        <v>728</v>
      </c>
      <c r="C28" s="3">
        <v>1.8952465641022924</v>
      </c>
      <c r="D28" s="3" t="str">
        <v>1 yr std dev</v>
      </c>
      <c r="E28" s="3">
        <v>-13.122800163778397</v>
      </c>
      <c r="F28" s="3">
        <v>-2.2642588599815849</v>
      </c>
    </row>
    <row r="29" spans="2:13" ht="14.5" thickBot="1" x14ac:dyDescent="0.35">
      <c r="B29" s="47" t="s">
        <v>729</v>
      </c>
      <c r="C29" s="47">
        <v>17</v>
      </c>
      <c r="D29" s="47" t="str">
        <v>Dividend Payout</v>
      </c>
      <c r="E29" s="47">
        <v>-10.030806892669755</v>
      </c>
      <c r="F29" s="47">
        <v>-1.5707820135883035</v>
      </c>
    </row>
    <row r="31" spans="2:13" ht="14.5" thickBot="1" x14ac:dyDescent="0.35">
      <c r="D31" s="247" t="s">
        <v>746</v>
      </c>
      <c r="E31" s="247" t="s">
        <v>774</v>
      </c>
      <c r="F31" s="246" t="s">
        <v>722</v>
      </c>
      <c r="G31" s="247" t="s">
        <v>748</v>
      </c>
    </row>
    <row r="32" spans="2:13" x14ac:dyDescent="0.3">
      <c r="D32" s="31">
        <f>('Financial Statements'!N33/'Financial Statements'!J33)^0.25-1</f>
        <v>0.47397749434212533</v>
      </c>
      <c r="E32" s="31">
        <f>'Financial Statements'!N38</f>
        <v>0.17841844670318541</v>
      </c>
      <c r="F32" s="31">
        <f>_xlfn.STDEV.P(Beta!C15:C68)*(52)^0.5</f>
        <v>0.35477058017003582</v>
      </c>
      <c r="G32" s="31">
        <v>0</v>
      </c>
    </row>
    <row r="33" spans="2:6" x14ac:dyDescent="0.3">
      <c r="B33" s="70" t="str">
        <f>"Predicted P/S for "&amp;Cover!B8</f>
        <v>Predicted P/S for ONE 97 COMMUNICATIONS LIMITED</v>
      </c>
      <c r="D33" s="54">
        <f>E25+D32*E26+E32*E27+F32*E28+G32*E29</f>
        <v>8.4752794142857528</v>
      </c>
      <c r="E33" s="27"/>
      <c r="F33" s="27"/>
    </row>
    <row r="34" spans="2:6" x14ac:dyDescent="0.3">
      <c r="B34" s="70" t="s">
        <v>747</v>
      </c>
      <c r="C34" s="34"/>
      <c r="D34" s="34">
        <f>'Financial Statements'!J11</f>
        <v>84370</v>
      </c>
    </row>
    <row r="35" spans="2:6" ht="14.5" thickBot="1" x14ac:dyDescent="0.35">
      <c r="B35" s="70" t="s">
        <v>758</v>
      </c>
      <c r="C35" s="34"/>
      <c r="D35" s="34">
        <f>D34*D33</f>
        <v>715059.32418328896</v>
      </c>
    </row>
    <row r="36" spans="2:6" ht="14.5" thickBot="1" x14ac:dyDescent="0.35">
      <c r="B36" s="305" t="s">
        <v>779</v>
      </c>
      <c r="C36" s="306"/>
      <c r="D36" s="307">
        <f>D35/Assumptions!P7</f>
        <v>1116.7478194118537</v>
      </c>
    </row>
  </sheetData>
  <pageMargins left="0.7" right="0.7" top="0.75" bottom="0.75" header="0.3" footer="0.3"/>
  <ignoredErrors>
    <ignoredError sqref="F32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22287-E2F1-403A-B575-EFCD01CA6C4C}">
  <sheetPr codeName="Sheet10"/>
  <dimension ref="A1"/>
  <sheetViews>
    <sheetView workbookViewId="0">
      <selection activeCell="M27" sqref="M27"/>
    </sheetView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Cover</vt:lpstr>
      <vt:lpstr>Summary</vt:lpstr>
      <vt:lpstr>Assumptions</vt:lpstr>
      <vt:lpstr>Scenarios</vt:lpstr>
      <vt:lpstr>Schedules</vt:lpstr>
      <vt:lpstr>Financial Statements</vt:lpstr>
      <vt:lpstr>DCF Valuation</vt:lpstr>
      <vt:lpstr>Relative Valuation</vt:lpstr>
      <vt:lpstr>Data Sheets&lt;</vt:lpstr>
      <vt:lpstr>Raw Data</vt:lpstr>
      <vt:lpstr>Beta</vt:lpstr>
      <vt:lpstr>RegressionRV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sachin kukreja</dc:creator>
  <cp:keywords/>
  <dc:description/>
  <cp:lastModifiedBy>DELL</cp:lastModifiedBy>
  <cp:revision/>
  <dcterms:created xsi:type="dcterms:W3CDTF">2026-04-04T07:05:04Z</dcterms:created>
  <dcterms:modified xsi:type="dcterms:W3CDTF">2026-06-13T15:59:29Z</dcterms:modified>
  <cp:category/>
  <cp:contentStatus/>
</cp:coreProperties>
</file>